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BF075674-8B6C-422B-9BF2-BFFE078F1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75" i="1"/>
  <c r="F66" i="1"/>
  <c r="F67" i="1"/>
  <c r="F68" i="1"/>
  <c r="F69" i="1"/>
  <c r="F70" i="1"/>
  <c r="F71" i="1"/>
  <c r="F72" i="1"/>
  <c r="F73" i="1"/>
  <c r="F74" i="1"/>
  <c r="L63" i="1"/>
  <c r="L64" i="1"/>
  <c r="L65" i="1"/>
  <c r="L66" i="1"/>
  <c r="K63" i="1"/>
  <c r="K64" i="1"/>
  <c r="K65" i="1"/>
  <c r="K66" i="1"/>
  <c r="K67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5" i="1"/>
  <c r="F62" i="1"/>
  <c r="F61" i="1"/>
  <c r="O47" i="2"/>
  <c r="C47" i="2" l="1"/>
  <c r="E63" i="1"/>
  <c r="D63" i="1"/>
  <c r="N63" i="1" s="1"/>
  <c r="G67" i="2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63" i="1" l="1"/>
  <c r="F63" i="1"/>
  <c r="J63" i="1"/>
  <c r="M64" i="1"/>
  <c r="F64" i="1"/>
  <c r="P64" i="1" s="1"/>
  <c r="J64" i="1"/>
  <c r="C3" i="2"/>
  <c r="O46" i="2"/>
  <c r="O45" i="2"/>
  <c r="Q63" i="1" s="1"/>
  <c r="O44" i="2"/>
  <c r="Q62" i="1" s="1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Q53" i="1" s="1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34" i="1" l="1"/>
  <c r="F37" i="1"/>
  <c r="K37" i="1"/>
  <c r="L37" i="1"/>
  <c r="G37" i="1"/>
  <c r="H37" i="1"/>
  <c r="I37" i="1"/>
  <c r="Q29" i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38" i="1" l="1"/>
  <c r="J37" i="1"/>
  <c r="R37" i="1" s="1"/>
  <c r="R10" i="1"/>
  <c r="R84" i="1" s="1"/>
  <c r="R17" i="1"/>
  <c r="R12" i="1"/>
  <c r="R29" i="1"/>
  <c r="R26" i="1"/>
  <c r="R20" i="1"/>
  <c r="R23" i="1"/>
  <c r="R18" i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<sst xmlns="http://schemas.openxmlformats.org/spreadsheetml/2006/main" count="225" uniqueCount="133">
  <si>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</si>
  <si>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</si>
  <si>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</si>
  <si>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</si>
  <si>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</si>
  <si>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</si>
  <si>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</si>
  <si>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</si>
  <si>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</si>
  <si>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</si>
  <si>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</si>
  <si>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</si>
  <si>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</si>
  <si>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</si>
  <si>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</si>
  <si>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</si>
  <si>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</si>
  <si>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</si>
  <si>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</si>
  <si>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</si>
  <si>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</si>
  <si>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</si>
  <si>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</si>
  <si>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</si>
  <si>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</si>
  <si>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</si>
  <si>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</si>
  <si>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</si>
  <si>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</si>
  <si>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</si>
  <si>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</si>
  <si>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</si>
  <si>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</si>
  <si>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</si>
  <si>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</si>
  <si>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</si>
  <si>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</si>
  <si>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</si>
  <si>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</si>
  <si>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</si>
  <si>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</si>
  <si>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</si>
  <si>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</si>
  <si>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</si>
  <si>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</si>
  <si>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</si>
  <si>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</si>
  <si>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</si>
  <si>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</si>
  <si>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</si>
  <si>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</si>
  <si>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</si>
  <si>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</si>
  <si>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</si>
  <si>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</si>
  <si>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</si>
  <si>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</si>
  <si>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</si>
  <si>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</si>
  <si>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</si>
  <si>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</si>
  <si>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</si>
  <si>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</si>
  <si>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</si>
  <si>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</si>
  <si>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</si>
  <si>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</si>
  <si>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</si>
  <si>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</si>
  <si>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</si>
  <si>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</si>
  <si>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</si>
  <si>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</si>
  <si>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</si>
  <si>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</si>
  <si>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</si>
  <si>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</si>
  <si>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</si>
  <si>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</si>
  <si>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</si>
  <si>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</si>
  <si>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</si>
  <si>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</si>
  <si>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</si>
  <si>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</si>
  <si>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</si>
  <si>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</si>
  <si>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</si>
  <si>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</si>
  <si>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</si>
  <si>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</si>
  <si>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</si>
  <si>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</si>
  <si>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</si>
  <si>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</si>
  <si>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</si>
  <si>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</si>
  <si>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</si>
  <si>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</si>
  <si>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</si>
  <si>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</si>
  <si>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</si>
  <si>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</si>
  <si>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</si>
  <si>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</si>
  <si>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</si>
  <si>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</si>
  <si>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</si>
  <si>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</si>
  <si>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</si>
  <si>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</si>
  <si>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</si>
  <si>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</si>
  <si>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</si>
  <si>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</si>
  <si>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</si>
  <si>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</si>
  <si>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</si>
  <si>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</si>
  <si>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</si>
  <si>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</si>
  <si>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</si>
  <si>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</si>
  <si>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</si>
  <si>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</si>
  <si>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</si>
  <si>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</si>
  <si>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</si>
  <si>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</si>
  <si>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</si>
  <si>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</si>
  <si>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</si>
  <si>
    <t>Departamento de Formulación, Monitoreo y Evaluación de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</si>
</sst>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9" fontId="5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5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49" fontId="21" fillId="0" borderId="0" xfId="0" applyNumberFormat="1" applyFont="1" applyAlignment="1">
      <alignment horizontal="left"/>
    </xf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left" indent="1"/>
    </xf>
    <xf numFmtId="49" fontId="21" fillId="0" borderId="0" xfId="0" applyNumberFormat="1" applyFont="1" applyAlignment="1">
      <alignment horizontal="left" indent="2"/>
    </xf>
    <xf numFmtId="49" fontId="21" fillId="0" borderId="0" xfId="0" applyNumberFormat="1" applyFont="1" applyAlignment="1">
      <alignment horizontal="left" indent="3"/>
    </xf>
    <xf numFmtId="49" fontId="21" fillId="0" borderId="0" xfId="0" applyNumberFormat="1" applyFont="1" applyAlignment="1">
      <alignment horizontal="left" indent="4"/>
    </xf>
    <xf numFmtId="49" fontId="21" fillId="0" borderId="0" xfId="0" applyNumberFormat="1" applyFont="1" applyAlignment="1">
      <alignment horizontal="left" indent="5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568778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74" zoomScaleNormal="40" zoomScaleSheetLayoutView="100" workbookViewId="0">
      <selection activeCell="C102" sqref="C102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22" style="20" bestFit="1" customWidth="1"/>
    <col min="5" max="5" width="16.85546875" style="20" bestFit="1" customWidth="1"/>
    <col min="6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3" bestFit="1" customWidth="1"/>
    <col min="18" max="18" width="21" bestFit="1" customWidth="1"/>
  </cols>
  <sheetData>
    <row r="3" spans="3:18" ht="28.5" customHeight="1">
      <c r="C3" s="73" t="s"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8" ht="21" customHeight="1">
      <c r="C4" s="75" t="s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8" ht="15.75">
      <c r="C5" s="77" t="s">
        <v>119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18" ht="15.75" customHeight="1">
      <c r="C6" s="79" t="s">
        <v>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3:18" ht="18" customHeight="1">
      <c r="C7" s="80" t="s">
        <v>3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105462706.54000001</v>
      </c>
      <c r="N10" s="26">
        <f>IFERROR(VLOOKUP(C10,'Datos Abierto'!$B$3:$O$46,11,FALSE),0)</f>
        <v>70079065.760000005</v>
      </c>
      <c r="O10" s="26">
        <f>IFERROR(VLOOKUP(C10,'Datos Abierto'!$B$3:$O$46,12,FALSE),0)</f>
        <v>89600019.25</v>
      </c>
      <c r="P10" s="26">
        <f>IFERROR(VLOOKUP(C10,'Datos Abierto'!$B$3:$O$46,13,FALSE),0)</f>
        <v>141610800.12</v>
      </c>
      <c r="Q10" s="26">
        <f>IFERROR(VLOOKUP(C10,'Datos Abierto'!$B$3:$O$46,14,FALSE),0)</f>
        <v>0</v>
      </c>
      <c r="R10" s="37">
        <f>SUM(F10:Q10)</f>
        <v>945715233.29999995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67090770.079999998</v>
      </c>
      <c r="N11" s="28">
        <f>IFERROR(VLOOKUP(C11,'Datos Abierto'!$B$3:$O$46,11,FALSE),0)</f>
        <v>52403025.829999998</v>
      </c>
      <c r="O11" s="28">
        <f>IFERROR(VLOOKUP(C11,'Datos Abierto'!$B$3:$O$46,12,FALSE),0)</f>
        <v>52608874.469999999</v>
      </c>
      <c r="P11" s="28">
        <f>IFERROR(VLOOKUP(C11,'Datos Abierto'!$B$3:$O$46,13,FALSE),0)</f>
        <v>119854156.34999999</v>
      </c>
      <c r="Q11" s="28">
        <f>IFERROR(VLOOKUP(C11,'Datos Abierto'!$B$3:$O$46,14,FALSE),0)</f>
        <v>0</v>
      </c>
      <c r="R11" s="38">
        <f t="shared" ref="R11:R41" si="2">SUM(F11:Q11)</f>
        <v>684421155.37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57575377.07</v>
      </c>
      <c r="N12" s="31">
        <f>IFERROR(VLOOKUP(C12,'Datos Abierto'!$B$3:$O$46,11,FALSE),0)</f>
        <v>45228253.359999999</v>
      </c>
      <c r="O12" s="31">
        <f>IFERROR(VLOOKUP(C12,'Datos Abierto'!$B$3:$O$46,12,FALSE),0)</f>
        <v>43841114.280000001</v>
      </c>
      <c r="P12" s="31">
        <f>IFERROR(VLOOKUP(C12,'Datos Abierto'!$B$3:$O$46,13,FALSE),0)</f>
        <v>80884103</v>
      </c>
      <c r="Q12" s="31">
        <f>IFERROR(VLOOKUP(C12,'Datos Abierto'!$B$3:$O$46,14,FALSE),0)</f>
        <v>0</v>
      </c>
      <c r="R12" s="39">
        <f>SUM(F12:Q12)</f>
        <v>543327235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625572.17000000004</v>
      </c>
      <c r="N13" s="31">
        <f>IFERROR(VLOOKUP(C13,'Datos Abierto'!$B$3:$O$46,11,FALSE),0)</f>
        <v>418604.42</v>
      </c>
      <c r="O13" s="31">
        <f>IFERROR(VLOOKUP(C13,'Datos Abierto'!$B$3:$O$46,12,FALSE),0)</f>
        <v>2067455.23</v>
      </c>
      <c r="P13" s="31">
        <f>IFERROR(VLOOKUP(C13,'Datos Abierto'!$B$3:$O$46,13,FALSE),0)</f>
        <v>31307451.68</v>
      </c>
      <c r="Q13" s="31">
        <f>IFERROR(VLOOKUP(C13,'Datos Abierto'!$B$3:$O$46,14,FALSE),0)</f>
        <v>0</v>
      </c>
      <c r="R13" s="39">
        <f t="shared" si="2"/>
        <v>63291788.710000008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24384</v>
      </c>
      <c r="O14" s="31">
        <f>IFERROR(VLOOKUP(C14,'Datos Abierto'!$B$3:$O$46,12,FALSE),0)</f>
        <v>25920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162654.91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8889820.8399999999</v>
      </c>
      <c r="N16" s="31">
        <f>IFERROR(VLOOKUP(C16,'Datos Abierto'!$B$3:$O$46,11,FALSE),0)</f>
        <v>6731784.0499999998</v>
      </c>
      <c r="O16" s="31">
        <f>IFERROR(VLOOKUP(C16,'Datos Abierto'!$B$3:$O$46,12,FALSE),0)</f>
        <v>6674384.96</v>
      </c>
      <c r="P16" s="31">
        <f>IFERROR(VLOOKUP(C16,'Datos Abierto'!$B$3:$O$46,13,FALSE),0)</f>
        <v>7662601.6699999999</v>
      </c>
      <c r="Q16" s="31">
        <f>IFERROR(VLOOKUP(C16,'Datos Abierto'!$B$3:$O$46,14,FALSE),0)</f>
        <v>0</v>
      </c>
      <c r="R16" s="39">
        <f t="shared" si="2"/>
        <v>77639476.749999985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32493738.640000001</v>
      </c>
      <c r="N17" s="34">
        <f>IFERROR(VLOOKUP(C17,'Datos Abierto'!$B$3:$O$46,11,FALSE),0)</f>
        <v>14875956.23</v>
      </c>
      <c r="O17" s="34">
        <f>IFERROR(VLOOKUP(C17,'Datos Abierto'!$B$3:$O$46,12,FALSE),0)</f>
        <v>29155963.25</v>
      </c>
      <c r="P17" s="34">
        <f>IFERROR(VLOOKUP(C17,'Datos Abierto'!$B$3:$O$46,13,FALSE),0)</f>
        <v>13395305.939999999</v>
      </c>
      <c r="Q17" s="34">
        <f>IFERROR(VLOOKUP(C17,'Datos Abierto'!$B$3:$O$46,14,FALSE),0)</f>
        <v>0</v>
      </c>
      <c r="R17" s="39">
        <f t="shared" si="2"/>
        <v>188446248.34999999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4205894.95</v>
      </c>
      <c r="N18" s="31">
        <f>IFERROR(VLOOKUP(C18,'Datos Abierto'!$B$3:$O$46,11,FALSE),0)</f>
        <v>8258158.6200000001</v>
      </c>
      <c r="O18" s="31">
        <f>IFERROR(VLOOKUP(C18,'Datos Abierto'!$B$3:$O$46,12,FALSE),0)</f>
        <v>14684350.15</v>
      </c>
      <c r="P18" s="31">
        <f>IFERROR(VLOOKUP(C18,'Datos Abierto'!$B$3:$O$46,13,FALSE),0)</f>
        <v>8406945.5600000005</v>
      </c>
      <c r="Q18" s="31">
        <f>IFERROR(VLOOKUP(C18,'Datos Abierto'!$B$3:$O$46,14,FALSE),0)</f>
        <v>0</v>
      </c>
      <c r="R18" s="39">
        <f t="shared" si="2"/>
        <v>84071397.519999996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1610491.8</v>
      </c>
      <c r="N19" s="31">
        <f>IFERROR(VLOOKUP(C19,'Datos Abierto'!$B$3:$O$46,11,FALSE),0)</f>
        <v>56173.9</v>
      </c>
      <c r="O19" s="31">
        <f>IFERROR(VLOOKUP(C19,'Datos Abierto'!$B$3:$O$46,12,FALSE),0)</f>
        <v>214170</v>
      </c>
      <c r="P19" s="31">
        <f>IFERROR(VLOOKUP(C19,'Datos Abierto'!$B$3:$O$46,13,FALSE),0)</f>
        <v>872301.34</v>
      </c>
      <c r="Q19" s="31">
        <f>IFERROR(VLOOKUP(C19,'Datos Abierto'!$B$3:$O$46,14,FALSE),0)</f>
        <v>0</v>
      </c>
      <c r="R19" s="39">
        <f t="shared" si="2"/>
        <v>6165806.4500000002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756561.5</v>
      </c>
      <c r="N20" s="31">
        <f>IFERROR(VLOOKUP(C20,'Datos Abierto'!$B$3:$O$46,11,FALSE),0)</f>
        <v>232834.64</v>
      </c>
      <c r="O20" s="31">
        <f>IFERROR(VLOOKUP(C20,'Datos Abierto'!$B$3:$O$46,12,FALSE),0)</f>
        <v>1136974.56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4675097.4000000004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126624.84</v>
      </c>
      <c r="P21" s="31">
        <f>IFERROR(VLOOKUP(C21,'Datos Abierto'!$B$3:$O$46,13,FALSE),0)</f>
        <v>500000</v>
      </c>
      <c r="Q21" s="31">
        <f>IFERROR(VLOOKUP(C21,'Datos Abierto'!$B$3:$O$46,14,FALSE),0)</f>
        <v>0</v>
      </c>
      <c r="R21" s="39">
        <f t="shared" si="2"/>
        <v>2206050.0200000005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15433913.619999999</v>
      </c>
      <c r="N22" s="31">
        <f>IFERROR(VLOOKUP(C22,'Datos Abierto'!$B$3:$O$46,11,FALSE),0)</f>
        <v>4283668.0999999996</v>
      </c>
      <c r="O22" s="31">
        <f>IFERROR(VLOOKUP(C22,'Datos Abierto'!$B$3:$O$46,12,FALSE),0)</f>
        <v>6042261.3899999997</v>
      </c>
      <c r="P22" s="31">
        <f>IFERROR(VLOOKUP(C22,'Datos Abierto'!$B$3:$O$46,13,FALSE),0)</f>
        <v>1790171.54</v>
      </c>
      <c r="Q22" s="31">
        <f>IFERROR(VLOOKUP(C22,'Datos Abierto'!$B$3:$O$46,14,FALSE),0)</f>
        <v>0</v>
      </c>
      <c r="R22" s="39">
        <f t="shared" si="2"/>
        <v>49812420.450000003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4754537.18</v>
      </c>
      <c r="N23" s="31">
        <f>IFERROR(VLOOKUP(C23,'Datos Abierto'!$B$3:$O$46,11,FALSE),0)</f>
        <v>340222.66</v>
      </c>
      <c r="O23" s="31">
        <f>IFERROR(VLOOKUP(C23,'Datos Abierto'!$B$3:$O$46,12,FALSE),0)</f>
        <v>339709.16</v>
      </c>
      <c r="P23" s="31">
        <f>IFERROR(VLOOKUP(C23,'Datos Abierto'!$B$3:$O$46,13,FALSE),0)</f>
        <v>543136.22</v>
      </c>
      <c r="Q23" s="31">
        <f>IFERROR(VLOOKUP(C23,'Datos Abierto'!$B$3:$O$46,14,FALSE),0)</f>
        <v>0</v>
      </c>
      <c r="R23" s="39">
        <f t="shared" si="2"/>
        <v>12940035.49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4362812.26</v>
      </c>
      <c r="N24" s="31">
        <f>IFERROR(VLOOKUP(C24,'Datos Abierto'!$B$3:$O$46,11,FALSE),0)</f>
        <v>378867.08</v>
      </c>
      <c r="O24" s="31">
        <f>IFERROR(VLOOKUP(C24,'Datos Abierto'!$B$3:$O$46,12,FALSE),0)</f>
        <v>2210098.69</v>
      </c>
      <c r="P24" s="31">
        <f>IFERROR(VLOOKUP(C24,'Datos Abierto'!$B$3:$O$46,13,FALSE),0)</f>
        <v>724860.62</v>
      </c>
      <c r="Q24" s="31">
        <f>IFERROR(VLOOKUP(C24,'Datos Abierto'!$B$3:$O$46,14,FALSE),0)</f>
        <v>0</v>
      </c>
      <c r="R24" s="39">
        <f t="shared" si="2"/>
        <v>18675574.610000003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924208.09</v>
      </c>
      <c r="N25" s="31">
        <f>IFERROR(VLOOKUP(C25,'Datos Abierto'!$B$3:$O$46,11,FALSE),0)</f>
        <v>1176031.23</v>
      </c>
      <c r="O25" s="31">
        <f>IFERROR(VLOOKUP(C25,'Datos Abierto'!$B$3:$O$46,12,FALSE),0)</f>
        <v>3654199.87</v>
      </c>
      <c r="P25" s="31">
        <f>IFERROR(VLOOKUP(C25,'Datos Abierto'!$B$3:$O$46,13,FALSE),0)</f>
        <v>557890.66</v>
      </c>
      <c r="Q25" s="31">
        <f>IFERROR(VLOOKUP(C25,'Datos Abierto'!$B$3:$O$46,14,FALSE),0)</f>
        <v>0</v>
      </c>
      <c r="R25" s="39">
        <f t="shared" si="2"/>
        <v>7856899.25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445319.24</v>
      </c>
      <c r="N26" s="31">
        <f>IFERROR(VLOOKUP(C26,'Datos Abierto'!$B$3:$O$46,11,FALSE),0)</f>
        <v>150000</v>
      </c>
      <c r="O26" s="31">
        <f>IFERROR(VLOOKUP(C26,'Datos Abierto'!$B$3:$O$46,12,FALSE),0)</f>
        <v>747574.59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2042967.1600000001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4536865.0199999996</v>
      </c>
      <c r="N27" s="34">
        <f>IFERROR(VLOOKUP(C27,'Datos Abierto'!$B$3:$O$46,11,FALSE),0)</f>
        <v>1079755.3799999999</v>
      </c>
      <c r="O27" s="34">
        <f>IFERROR(VLOOKUP(C27,'Datos Abierto'!$B$3:$O$46,12,FALSE),0)</f>
        <v>6251753.29</v>
      </c>
      <c r="P27" s="34">
        <f>IFERROR(VLOOKUP(C27,'Datos Abierto'!$B$3:$O$46,13,FALSE),0)</f>
        <v>2824774.08</v>
      </c>
      <c r="Q27" s="34">
        <f>IFERROR(VLOOKUP(C27,'Datos Abierto'!$B$3:$O$46,14,FALSE),0)</f>
        <v>0</v>
      </c>
      <c r="R27" s="39">
        <f t="shared" si="2"/>
        <v>41972242.989999995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482503.5</v>
      </c>
      <c r="N28" s="31">
        <f>IFERROR(VLOOKUP(C28,'Datos Abierto'!$B$3:$O$46,11,FALSE),0)</f>
        <v>175511.38</v>
      </c>
      <c r="O28" s="31">
        <f>IFERROR(VLOOKUP(C28,'Datos Abierto'!$B$3:$O$46,12,FALSE),0)</f>
        <v>118528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1381039.1800000002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6962</v>
      </c>
      <c r="Q29" s="31">
        <f>IFERROR(VLOOKUP(C29,'Datos Abierto'!$B$3:$O$46,14,FALSE),0)</f>
        <v>0</v>
      </c>
      <c r="R29" s="39">
        <f t="shared" si="2"/>
        <v>722738.2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57754.51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499323.37</v>
      </c>
      <c r="Q30" s="31">
        <f>IFERROR(VLOOKUP(C30,'Datos Abierto'!$B$3:$O$46,14,FALSE),0)</f>
        <v>0</v>
      </c>
      <c r="R30" s="39">
        <f t="shared" si="2"/>
        <v>1645793.67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3269.25</v>
      </c>
      <c r="N31" s="31">
        <f>IFERROR(VLOOKUP(C31,'Datos Abierto'!$B$3:$O$46,11,FALSE),0)</f>
        <v>0</v>
      </c>
      <c r="O31" s="31">
        <f>IFERROR(VLOOKUP(C31,'Datos Abierto'!$B$3:$O$46,12,FALSE),0)</f>
        <v>101872.8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105142.05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67496</v>
      </c>
      <c r="O32" s="31">
        <f>IFERROR(VLOOKUP(C32,'Datos Abierto'!$B$3:$O$46,12,FALSE),0)</f>
        <v>41872.68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229300.72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958860.72</v>
      </c>
      <c r="N33" s="31">
        <f>IFERROR(VLOOKUP(C33,'Datos Abierto'!$B$3:$O$46,11,FALSE),0)</f>
        <v>33040</v>
      </c>
      <c r="O33" s="31">
        <f>IFERROR(VLOOKUP(C33,'Datos Abierto'!$B$3:$O$46,12,FALSE),0)</f>
        <v>0</v>
      </c>
      <c r="P33" s="31">
        <f>IFERROR(VLOOKUP(C33,'Datos Abierto'!$B$3:$O$46,13,FALSE),0)</f>
        <v>47108.08</v>
      </c>
      <c r="Q33" s="31">
        <f>IFERROR(VLOOKUP(C33,'Datos Abierto'!$B$3:$O$46,14,FALSE),0)</f>
        <v>0</v>
      </c>
      <c r="R33" s="39">
        <f t="shared" si="2"/>
        <v>1306860.3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3028341.04</v>
      </c>
      <c r="N36" s="31">
        <f>IFERROR(VLOOKUP(C36,'Datos Abierto'!$B$3:$O$46,11,FALSE),0)</f>
        <v>517058</v>
      </c>
      <c r="O36" s="31">
        <f>IFERROR(VLOOKUP(C36,'Datos Abierto'!$B$3:$O$46,12,FALSE),0)</f>
        <v>588428.81000000006</v>
      </c>
      <c r="P36" s="31">
        <f>IFERROR(VLOOKUP(C36,'Datos Abierto'!$B$3:$O$46,13,FALSE),0)</f>
        <v>2054604.43</v>
      </c>
      <c r="Q36" s="31">
        <f>IFERROR(VLOOKUP(C36,'Datos Abierto'!$B$3:$O$46,14,FALSE),0)</f>
        <v>0</v>
      </c>
      <c r="R36" s="39">
        <f t="shared" si="2"/>
        <v>20255227.819999997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11500</v>
      </c>
      <c r="N37" s="34">
        <f>IFERROR(VLOOKUP(C37,'Datos Abierto'!$B$3:$O$46,11,FALSE),0)</f>
        <v>97338.23</v>
      </c>
      <c r="O37" s="34">
        <f>IFERROR(VLOOKUP(C37,'Datos Abierto'!$B$3:$O$46,12,FALSE),0)</f>
        <v>435004.26</v>
      </c>
      <c r="P37" s="34">
        <f>IFERROR(VLOOKUP(C37,'Datos Abierto'!$B$3:$O$46,13,FALSE),0)</f>
        <v>25000</v>
      </c>
      <c r="Q37" s="34">
        <f>IFERROR(VLOOKUP(C37,'Datos Abierto'!$B$3:$O$46,14,FALSE),0)</f>
        <v>0</v>
      </c>
      <c r="R37" s="39">
        <f t="shared" si="2"/>
        <v>1895280.11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11500</v>
      </c>
      <c r="N38" s="31">
        <f>IFERROR(VLOOKUP(C38,'Datos Abierto'!$B$3:$O$46,11,FALSE),0)</f>
        <v>97338.23</v>
      </c>
      <c r="O38" s="31">
        <f>IFERROR(VLOOKUP(C38,'Datos Abierto'!$B$3:$O$46,12,FALSE),0)</f>
        <v>328951.76</v>
      </c>
      <c r="P38" s="31">
        <f>IFERROR(VLOOKUP(C38,'Datos Abierto'!$B$3:$O$46,13,FALSE),0)</f>
        <v>25000</v>
      </c>
      <c r="Q38" s="31">
        <f>IFERROR(VLOOKUP(C38,'Datos Abierto'!$B$3:$O$46,14,FALSE),0)</f>
        <v>0</v>
      </c>
      <c r="R38" s="39">
        <f t="shared" si="2"/>
        <v>1789227.61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1329832.8</v>
      </c>
      <c r="N53" s="34">
        <f>IFERROR(VLOOKUP(C53,'Datos Abierto'!$B$3:$O$46,11,FALSE),0)</f>
        <v>1622990.09</v>
      </c>
      <c r="O53" s="34">
        <f>IFERROR(VLOOKUP(C53,'Datos Abierto'!$B$3:$O$46,12,FALSE),0)</f>
        <v>946569.64</v>
      </c>
      <c r="P53" s="34">
        <f>IFERROR(VLOOKUP(C53,'Datos Abierto'!$B$3:$O$46,13,FALSE),0)</f>
        <v>5429413.75</v>
      </c>
      <c r="Q53" s="34">
        <f>IFERROR(VLOOKUP(C53,'Datos Abierto'!$B$3:$O$46,14,FALSE),0)</f>
        <v>0</v>
      </c>
      <c r="R53" s="39">
        <f t="shared" si="5"/>
        <v>28019811.719999999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552470.1</v>
      </c>
      <c r="N54" s="31">
        <f>IFERROR(VLOOKUP(C54,'Datos Abierto'!$B$3:$O$46,11,FALSE),0)</f>
        <v>738337.01</v>
      </c>
      <c r="O54" s="31">
        <f>IFERROR(VLOOKUP(C54,'Datos Abierto'!$B$3:$O$46,12,FALSE),0)</f>
        <v>946569.64</v>
      </c>
      <c r="P54" s="31">
        <f>IFERROR(VLOOKUP(C54,'Datos Abierto'!$B$3:$O$46,13,FALSE),0)</f>
        <v>3100822.34</v>
      </c>
      <c r="Q54" s="31">
        <f>IFERROR(VLOOKUP(C54,'Datos Abierto'!$B$3:$O$46,14,FALSE),0)</f>
        <v>0</v>
      </c>
      <c r="R54" s="39">
        <f t="shared" si="5"/>
        <v>20916183.82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580184.69999999995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580184.69999999995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25960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34574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171218</v>
      </c>
      <c r="N58" s="31">
        <f>IFERROR(VLOOKUP(C58,'Datos Abierto'!$B$3:$O$46,11,FALSE),0)</f>
        <v>884653.08</v>
      </c>
      <c r="O58" s="31">
        <f>IFERROR(VLOOKUP(C58,'Datos Abierto'!$B$3:$O$46,12,FALSE),0)</f>
        <v>0</v>
      </c>
      <c r="P58" s="31">
        <f>IFERROR(VLOOKUP(C58,'Datos Abierto'!$B$3:$O$46,13,FALSE),0)</f>
        <v>2328591.41</v>
      </c>
      <c r="Q58" s="31">
        <f>IFERROR(VLOOKUP(C58,'Datos Abierto'!$B$3:$O$46,14,FALSE),0)</f>
        <v>0</v>
      </c>
      <c r="R58" s="39">
        <f t="shared" si="5"/>
        <v>5809609.1799999997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1" customFormat="1" ht="18" customHeight="1">
      <c r="C63" s="57" t="s">
        <v>73</v>
      </c>
      <c r="D63" s="58">
        <f>+D64</f>
        <v>169000000</v>
      </c>
      <c r="E63" s="58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59">
        <f>IFERROR(VLOOKUP(C63,'Datos Abierto'!$B$3:$O$46,10,FALSE),0)</f>
        <v>0</v>
      </c>
      <c r="N63" s="59">
        <f>+SUMIFS('Datos Abierto'!$K$3:$K$44,'Datos Abierto'!$B$3:$B$44,D63)</f>
        <v>0</v>
      </c>
      <c r="O63" s="59">
        <f>+SUMIFS('Datos Abierto'!$K$3:$K$44,'Datos Abierto'!$B$3:$B$44,E63)</f>
        <v>0</v>
      </c>
      <c r="P63" s="59">
        <f>+SUMIFS('Datos Abierto'!$N$3:$N$44,'Datos Abierto'!$B$3:$B$44,C63)</f>
        <v>0</v>
      </c>
      <c r="Q63" s="59">
        <f>+SUMIFS('Datos Abierto'!$O$3:$O$46,'Datos Abierto'!$B$3:$B$46,C63)</f>
        <v>0</v>
      </c>
      <c r="R63" s="60">
        <f t="shared" si="5"/>
        <v>676490.42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4" t="s">
        <v>85</v>
      </c>
      <c r="D75" s="62">
        <v>0</v>
      </c>
      <c r="E75" s="62">
        <v>0</v>
      </c>
      <c r="F75" s="63">
        <f>IFERROR(VLOOKUP(C75,'Datos Abierto'!$B$3:$O$46,10,FALSE),0)</f>
        <v>0</v>
      </c>
      <c r="G75" s="63">
        <f>IFERROR(VLOOKUP(C75,'Datos Abierto'!$B$3:$O$46,4,FALSE),0)</f>
        <v>0</v>
      </c>
      <c r="H75" s="63">
        <f>IFERROR(VLOOKUP(C75,'Datos Abierto'!$B$3:$O$46,5,FALSE),0)</f>
        <v>0</v>
      </c>
      <c r="I75" s="63">
        <f>IFERROR(VLOOKUP(B75,'Datos Abierto'!$B$3:$O$46,10,FALSE),0)</f>
        <v>0</v>
      </c>
      <c r="J75" s="63">
        <f>IFERROR(VLOOKUP(#REF!,'Datos Abierto'!$B$3:$O$46,10,FALSE),0)</f>
        <v>0</v>
      </c>
      <c r="K75" s="63">
        <f>IFERROR(VLOOKUP(A75,'Datos Abierto'!$B$3:$O$46,10,FALSE),0)</f>
        <v>0</v>
      </c>
      <c r="L75" s="63">
        <f>IFERROR(VLOOKUP(B75,'Datos Abierto'!$B$3:$O$46,10,FALSE),0)</f>
        <v>0</v>
      </c>
      <c r="M75" s="63">
        <f>IFERROR(VLOOKUP(C75,'Datos Abierto'!$B$3:$O$46,10,FALSE),0)</f>
        <v>0</v>
      </c>
      <c r="N75" s="63">
        <f>IFERROR(VLOOKUP(D75,'Datos Abierto'!$B$3:$O$46,10,FALSE),0)</f>
        <v>0</v>
      </c>
      <c r="O75" s="63">
        <f>IFERROR(VLOOKUP(E75,'Datos Abierto'!$B$3:$O$46,10,FALSE),0)</f>
        <v>0</v>
      </c>
      <c r="P75" s="63">
        <f>IFERROR(VLOOKUP(F75,'Datos Abierto'!$B$3:$O$46,10,FALSE),0)</f>
        <v>0</v>
      </c>
      <c r="Q75" s="63">
        <f>IFERROR(VLOOKUP(G75,'Datos Abierto'!$B$3:$O$46,10,FALSE),0)</f>
        <v>0</v>
      </c>
      <c r="R75" s="65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105462706.54000001</v>
      </c>
      <c r="N84" s="44">
        <f t="shared" ref="N84:Q84" si="10">+N10</f>
        <v>70079065.760000005</v>
      </c>
      <c r="O84" s="44">
        <f t="shared" ref="O84:P84" si="11">+O10</f>
        <v>89600019.25</v>
      </c>
      <c r="P84" s="44">
        <f t="shared" si="11"/>
        <v>141610800.12</v>
      </c>
      <c r="Q84" s="44">
        <f t="shared" si="10"/>
        <v>0</v>
      </c>
      <c r="R84" s="55">
        <f>+R10</f>
        <v>945715233.29999995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C96" s="52"/>
      <c r="D96" s="53"/>
      <c r="E96" s="53"/>
      <c r="F96" s="54"/>
      <c r="G96" s="54"/>
    </row>
    <row r="97" spans="3:7">
      <c r="C97" s="72" t="s">
        <v>102</v>
      </c>
      <c r="D97" s="72"/>
      <c r="E97" s="72"/>
      <c r="F97" s="72"/>
      <c r="G97" s="72"/>
    </row>
    <row r="98" spans="3:7">
      <c r="C98" s="72" t="s">
        <v>103</v>
      </c>
      <c r="D98" s="72"/>
      <c r="E98" s="72"/>
      <c r="F98" s="72"/>
      <c r="G98" s="72"/>
    </row>
    <row r="99" spans="3:7">
      <c r="C99" s="72" t="s">
        <v>132</v>
      </c>
      <c r="D99" s="72"/>
      <c r="E99" s="72"/>
      <c r="F99" s="72"/>
      <c r="G99" s="72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N4" sqref="N4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6" t="s">
        <v>120</v>
      </c>
      <c r="E1" s="66" t="s">
        <v>121</v>
      </c>
      <c r="F1" s="67" t="s">
        <v>122</v>
      </c>
      <c r="G1" s="67" t="s">
        <v>123</v>
      </c>
      <c r="H1" s="67" t="s">
        <v>124</v>
      </c>
      <c r="I1" s="67" t="s">
        <v>125</v>
      </c>
      <c r="J1" s="67" t="s">
        <v>126</v>
      </c>
      <c r="K1" s="67" t="s">
        <v>127</v>
      </c>
      <c r="L1" s="67" t="s">
        <v>128</v>
      </c>
      <c r="M1" s="67" t="s">
        <v>129</v>
      </c>
      <c r="N1" s="67" t="s">
        <v>130</v>
      </c>
      <c r="O1" s="67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945715233.29999995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v>105462706.54000001</v>
      </c>
      <c r="L3" s="13">
        <v>70079065.760000005</v>
      </c>
      <c r="M3" s="13">
        <v>89600019.25</v>
      </c>
      <c r="N3" s="13">
        <v>141610800.12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945715233.29999995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v>105462706.54000001</v>
      </c>
      <c r="L4" s="13">
        <v>70079065.760000005</v>
      </c>
      <c r="M4" s="13">
        <v>89600019.25</v>
      </c>
      <c r="N4" s="13">
        <v>141610800.12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945715233.29999995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v>105462706.54000001</v>
      </c>
      <c r="L5" s="13">
        <v>70079065.760000005</v>
      </c>
      <c r="M5" s="13">
        <v>89600019.25</v>
      </c>
      <c r="N5" s="13">
        <v>141610800.12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945715233.29999995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v>105462706.54000001</v>
      </c>
      <c r="L6" s="13">
        <v>70079065.760000005</v>
      </c>
      <c r="M6" s="13">
        <v>89600019.25</v>
      </c>
      <c r="N6" s="13">
        <v>141610800.12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945715233.29999995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v>105462706.54000001</v>
      </c>
      <c r="L7" s="13">
        <v>70079065.760000005</v>
      </c>
      <c r="M7" s="13">
        <v>89600019.25</v>
      </c>
      <c r="N7" s="13">
        <v>141610800.12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684421155.37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v>67090770.079999998</v>
      </c>
      <c r="L8" s="13">
        <v>52403025.829999998</v>
      </c>
      <c r="M8" s="13">
        <v>52608874.469999999</v>
      </c>
      <c r="N8" s="13">
        <v>119854156.34999999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543327235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v>57575377.07</v>
      </c>
      <c r="L9" s="13">
        <v>45228253.359999999</v>
      </c>
      <c r="M9" s="13">
        <v>43841114.280000001</v>
      </c>
      <c r="N9" s="13">
        <v>80884103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63291788.710000008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v>625572.17000000004</v>
      </c>
      <c r="L10" s="13">
        <v>418604.42</v>
      </c>
      <c r="M10" s="13">
        <v>2067455.23</v>
      </c>
      <c r="N10" s="13">
        <v>31307451.68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162654.91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v>0</v>
      </c>
      <c r="L11" s="13">
        <v>24384</v>
      </c>
      <c r="M11" s="13">
        <v>25920</v>
      </c>
      <c r="N11" s="13"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77639476.749999985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v>8889820.8399999999</v>
      </c>
      <c r="L13" s="13">
        <v>6731784.0499999998</v>
      </c>
      <c r="M13" s="13">
        <v>6674384.96</v>
      </c>
      <c r="N13" s="13">
        <v>7662601.6699999999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188446248.34999999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v>32493738.640000001</v>
      </c>
      <c r="L14" s="13">
        <v>14875956.23</v>
      </c>
      <c r="M14" s="13">
        <v>29155963.25</v>
      </c>
      <c r="N14" s="13">
        <v>13395305.939999999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84071397.519999996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v>4205894.95</v>
      </c>
      <c r="L15" s="13">
        <v>8258158.6200000001</v>
      </c>
      <c r="M15" s="13">
        <v>14684350.15</v>
      </c>
      <c r="N15" s="13">
        <v>8406945.5600000005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6165806.4500000002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v>1610491.8</v>
      </c>
      <c r="L16" s="13">
        <v>56173.9</v>
      </c>
      <c r="M16" s="13">
        <v>214170</v>
      </c>
      <c r="N16" s="13">
        <v>872301.34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4675097.4000000004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v>756561.5</v>
      </c>
      <c r="L17" s="13">
        <v>232834.64</v>
      </c>
      <c r="M17" s="13">
        <v>1136974.56</v>
      </c>
      <c r="N17" s="13"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2206050.0200000005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v>0</v>
      </c>
      <c r="L18" s="13">
        <v>0</v>
      </c>
      <c r="M18" s="13">
        <v>126624.84</v>
      </c>
      <c r="N18" s="13">
        <v>500000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49812420.450000003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v>15433913.619999999</v>
      </c>
      <c r="L19" s="13">
        <v>4283668.0999999996</v>
      </c>
      <c r="M19" s="13">
        <v>6042261.3899999997</v>
      </c>
      <c r="N19" s="13">
        <v>1790171.54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12940035.49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v>4754537.18</v>
      </c>
      <c r="L20" s="13">
        <v>340222.66</v>
      </c>
      <c r="M20" s="13">
        <v>339709.16</v>
      </c>
      <c r="N20" s="13">
        <v>543136.22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18675574.610000003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v>4362812.26</v>
      </c>
      <c r="L21" s="13">
        <v>378867.08</v>
      </c>
      <c r="M21" s="13">
        <v>2210098.69</v>
      </c>
      <c r="N21" s="13">
        <v>724860.62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7856899.25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v>924208.09</v>
      </c>
      <c r="L22" s="13">
        <v>1176031.23</v>
      </c>
      <c r="M22" s="13">
        <v>3654199.87</v>
      </c>
      <c r="N22" s="13">
        <v>557890.66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2042967.1600000001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v>445319.24</v>
      </c>
      <c r="L23" s="13">
        <v>150000</v>
      </c>
      <c r="M23" s="13">
        <v>747574.59</v>
      </c>
      <c r="N23" s="13"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41972242.989999995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v>4536865.0199999996</v>
      </c>
      <c r="L24" s="13">
        <v>1079755.3799999999</v>
      </c>
      <c r="M24" s="13">
        <v>6251753.29</v>
      </c>
      <c r="N24" s="13">
        <v>2824774.08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1381039.1800000002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v>482503.5</v>
      </c>
      <c r="L25" s="13">
        <v>175511.38</v>
      </c>
      <c r="M25" s="13">
        <v>118528</v>
      </c>
      <c r="N25" s="13"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722738.2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6962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1645793.67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v>57754.51</v>
      </c>
      <c r="L27" s="13">
        <v>0</v>
      </c>
      <c r="M27" s="13">
        <v>0</v>
      </c>
      <c r="N27" s="13">
        <v>499323.37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105142.05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3269.25</v>
      </c>
      <c r="L28" s="13">
        <v>0</v>
      </c>
      <c r="M28" s="13">
        <v>101872.8</v>
      </c>
      <c r="N28" s="13"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229300.72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v>0</v>
      </c>
      <c r="L29" s="13">
        <v>67496</v>
      </c>
      <c r="M29" s="13">
        <v>41872.68</v>
      </c>
      <c r="N29" s="13"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1306860.3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v>958860.72</v>
      </c>
      <c r="L30" s="13">
        <v>33040</v>
      </c>
      <c r="M30" s="13">
        <v>0</v>
      </c>
      <c r="N30" s="13">
        <v>47108.08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20255227.819999997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v>3028341.04</v>
      </c>
      <c r="L32" s="13">
        <v>517058</v>
      </c>
      <c r="M32" s="13">
        <v>588428.81000000006</v>
      </c>
      <c r="N32" s="13">
        <v>2054604.43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1895280.11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v>11500</v>
      </c>
      <c r="L33" s="13">
        <v>97338.23</v>
      </c>
      <c r="M33" s="13">
        <v>435004.26</v>
      </c>
      <c r="N33" s="13">
        <v>25000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1789227.61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v>11500</v>
      </c>
      <c r="L34" s="13">
        <v>97338.23</v>
      </c>
      <c r="M34" s="13">
        <v>328951.76</v>
      </c>
      <c r="N34" s="13">
        <v>25000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28019811.719999999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v>1329832.8</v>
      </c>
      <c r="L36" s="13">
        <v>1622990.09</v>
      </c>
      <c r="M36" s="13">
        <v>946569.64</v>
      </c>
      <c r="N36" s="13">
        <v>5429413.75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20916183.82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v>552470.1</v>
      </c>
      <c r="L37" s="13">
        <v>738337.01</v>
      </c>
      <c r="M37" s="13">
        <v>946569.64</v>
      </c>
      <c r="N37" s="13">
        <v>3100822.34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580184.69999999995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580184.69999999995</v>
      </c>
      <c r="L38" s="13">
        <v>0</v>
      </c>
      <c r="M38" s="13">
        <v>0</v>
      </c>
      <c r="N38" s="13"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34574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25960</v>
      </c>
      <c r="L39" s="13">
        <v>0</v>
      </c>
      <c r="M39" s="13">
        <v>0</v>
      </c>
      <c r="N39" s="13"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5809609.1799999997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v>171218</v>
      </c>
      <c r="L41" s="13">
        <v>884653.08</v>
      </c>
      <c r="M41" s="13">
        <v>0</v>
      </c>
      <c r="N41" s="13">
        <v>2328591.41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v>0</v>
      </c>
      <c r="L42" s="13">
        <v>0</v>
      </c>
      <c r="M42" s="13">
        <v>0</v>
      </c>
      <c r="N42" s="13"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960494.76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201854.34</v>
      </c>
      <c r="N45" s="13">
        <v>82150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960494.76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201854.34</v>
      </c>
      <c r="N46" s="13">
        <v>82150</v>
      </c>
      <c r="O46" s="13">
        <f>IFERROR(VLOOKUP(B46,Plantilla!$A$2:B76,2,FALSE),0)</f>
        <v>0</v>
      </c>
    </row>
    <row r="47" spans="1:15" ht="15.75">
      <c r="A47" s="10" t="s">
        <v>117</v>
      </c>
      <c r="B47" s="29" t="s">
        <v>75</v>
      </c>
      <c r="C47" s="12">
        <f t="shared" ref="C47" si="1"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>IFERROR(VLOOKUP(B47,Plantilla!$A$2:B77,2,FALSE),0)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0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81"/>
      <c r="B2" s="82"/>
    </row>
    <row r="3" spans="1:2">
      <c r="A3" s="81"/>
      <c r="B3" s="82"/>
    </row>
    <row r="4" spans="1:2">
      <c r="A4" s="83"/>
      <c r="B4" s="82"/>
    </row>
    <row r="5" spans="1:2">
      <c r="A5" s="84"/>
      <c r="B5" s="82"/>
    </row>
    <row r="6" spans="1:2">
      <c r="A6" s="85"/>
      <c r="B6" s="82"/>
    </row>
    <row r="7" spans="1:2" s="1" customFormat="1">
      <c r="A7" s="86"/>
      <c r="B7" s="82"/>
    </row>
    <row r="8" spans="1:2">
      <c r="A8" s="87"/>
      <c r="B8" s="82"/>
    </row>
    <row r="9" spans="1:2">
      <c r="A9" s="87"/>
      <c r="B9" s="82"/>
    </row>
    <row r="10" spans="1:2">
      <c r="A10" s="87"/>
      <c r="B10" s="82"/>
    </row>
    <row r="11" spans="1:2" s="1" customFormat="1">
      <c r="A11" s="86"/>
      <c r="B11" s="82"/>
    </row>
    <row r="12" spans="1:2">
      <c r="A12" s="87"/>
      <c r="B12" s="82"/>
    </row>
    <row r="13" spans="1:2">
      <c r="A13" s="87"/>
      <c r="B13" s="82"/>
    </row>
    <row r="14" spans="1:2">
      <c r="A14" s="87"/>
      <c r="B14" s="82"/>
    </row>
    <row r="15" spans="1:2">
      <c r="A15" s="87"/>
      <c r="B15" s="82"/>
    </row>
    <row r="16" spans="1:2">
      <c r="A16" s="87"/>
      <c r="B16" s="82"/>
    </row>
    <row r="17" spans="1:2">
      <c r="A17" s="87"/>
      <c r="B17" s="82"/>
    </row>
    <row r="18" spans="1:2">
      <c r="A18" s="87"/>
      <c r="B18" s="82"/>
    </row>
    <row r="19" spans="1:2">
      <c r="A19" s="87"/>
      <c r="B19" s="82"/>
    </row>
    <row r="20" spans="1:2" s="1" customFormat="1">
      <c r="A20" s="86"/>
      <c r="B20" s="82"/>
    </row>
    <row r="21" spans="1:2">
      <c r="A21" s="87"/>
      <c r="B21" s="82"/>
    </row>
    <row r="22" spans="1:2">
      <c r="A22" s="87"/>
      <c r="B22" s="82"/>
    </row>
    <row r="23" spans="1:2">
      <c r="A23" s="87"/>
      <c r="B23" s="82"/>
    </row>
    <row r="24" spans="1:2">
      <c r="A24" s="87"/>
      <c r="B24" s="82"/>
    </row>
    <row r="25" spans="1:2">
      <c r="A25" s="87"/>
      <c r="B25" s="82"/>
    </row>
    <row r="26" spans="1:2">
      <c r="A26" s="87"/>
      <c r="B26" s="82"/>
    </row>
    <row r="27" spans="1:2" s="1" customFormat="1">
      <c r="A27" s="87"/>
      <c r="B27" s="82"/>
    </row>
    <row r="28" spans="1:2">
      <c r="A28" s="87"/>
      <c r="B28" s="82"/>
    </row>
    <row r="29" spans="1:2" s="1" customFormat="1">
      <c r="A29" s="86"/>
      <c r="B29" s="82"/>
    </row>
    <row r="30" spans="1:2">
      <c r="A30" s="87"/>
      <c r="B30" s="82"/>
    </row>
    <row r="31" spans="1:2">
      <c r="A31" s="86"/>
      <c r="B31" s="82"/>
    </row>
    <row r="32" spans="1:2">
      <c r="A32" s="87"/>
      <c r="B32" s="82"/>
    </row>
    <row r="33" spans="1:2">
      <c r="A33" s="87"/>
      <c r="B33" s="82"/>
    </row>
    <row r="34" spans="1:2">
      <c r="A34" s="87"/>
      <c r="B34" s="82"/>
    </row>
    <row r="35" spans="1:2">
      <c r="A35" s="87"/>
      <c r="B35" s="82"/>
    </row>
    <row r="36" spans="1:2">
      <c r="A36" s="87"/>
      <c r="B36" s="82"/>
    </row>
    <row r="37" spans="1:2">
      <c r="A37" s="87"/>
      <c r="B37" s="82"/>
    </row>
    <row r="38" spans="1:2">
      <c r="A38" s="87"/>
      <c r="B38" s="82"/>
    </row>
    <row r="39" spans="1:2">
      <c r="A39" s="86"/>
      <c r="B39" s="82"/>
    </row>
    <row r="40" spans="1:2">
      <c r="A40" s="87"/>
      <c r="B40" s="82"/>
    </row>
    <row r="41" spans="1:2">
      <c r="A41" s="71"/>
      <c r="B41" s="69"/>
    </row>
    <row r="42" spans="1:2">
      <c r="A42" s="71"/>
      <c r="B42" s="69"/>
    </row>
    <row r="43" spans="1:2">
      <c r="A43" s="70"/>
      <c r="B43" s="69"/>
    </row>
    <row r="44" spans="1:2">
      <c r="A44" s="71"/>
      <c r="B44" s="69"/>
    </row>
    <row r="45" spans="1:2">
      <c r="A45" s="56"/>
      <c r="B45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Martínez Guzmán</cp:lastModifiedBy>
  <cp:lastPrinted>2024-12-04T17:24:50Z</cp:lastPrinted>
  <dcterms:created xsi:type="dcterms:W3CDTF">2021-12-09T15:04:00Z</dcterms:created>
  <dcterms:modified xsi:type="dcterms:W3CDTF">2024-12-04T17:24:59Z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