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2BAE7DC9-E24B-46E2-B5CE-9BEBFA84D87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3 Ejecucion " sheetId="1" r:id="rId1"/>
    <sheet name="Datos Abierto" sheetId="2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75" i="1"/>
  <c r="F66" i="1"/>
  <c r="F67" i="1"/>
  <c r="F68" i="1"/>
  <c r="F69" i="1"/>
  <c r="F70" i="1"/>
  <c r="F71" i="1"/>
  <c r="F72" i="1"/>
  <c r="F73" i="1"/>
  <c r="F74" i="1"/>
  <c r="L63" i="1"/>
  <c r="L64" i="1"/>
  <c r="L65" i="1"/>
  <c r="L66" i="1"/>
  <c r="K63" i="1"/>
  <c r="K64" i="1"/>
  <c r="K65" i="1"/>
  <c r="K66" i="1"/>
  <c r="K67" i="1"/>
  <c r="J65" i="1"/>
  <c r="J66" i="1"/>
  <c r="J67" i="1"/>
  <c r="I63" i="1"/>
  <c r="I64" i="1"/>
  <c r="I65" i="1"/>
  <c r="I66" i="1"/>
  <c r="I67" i="1"/>
  <c r="G64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F65" i="1"/>
  <c r="F62" i="1"/>
  <c r="F61" i="1"/>
  <c r="O47" i="2"/>
  <c r="N47" i="2"/>
  <c r="C47" i="2" l="1"/>
  <c r="E63" i="1"/>
  <c r="D63" i="1"/>
  <c r="N63" i="1" s="1"/>
  <c r="G67" i="2" l="1"/>
  <c r="N4" i="2"/>
  <c r="N5" i="2"/>
  <c r="N6" i="2"/>
  <c r="N7" i="2"/>
  <c r="N8" i="2"/>
  <c r="N9" i="2"/>
  <c r="M13" i="1"/>
  <c r="N10" i="2"/>
  <c r="M14" i="1"/>
  <c r="N11" i="2"/>
  <c r="M15" i="1"/>
  <c r="N12" i="2"/>
  <c r="M16" i="1"/>
  <c r="N13" i="2"/>
  <c r="N14" i="2"/>
  <c r="M18" i="1"/>
  <c r="N15" i="2"/>
  <c r="M19" i="1"/>
  <c r="N16" i="2"/>
  <c r="M20" i="1"/>
  <c r="N17" i="2"/>
  <c r="M21" i="1"/>
  <c r="N18" i="2"/>
  <c r="M22" i="1"/>
  <c r="N19" i="2"/>
  <c r="M23" i="1"/>
  <c r="N20" i="2"/>
  <c r="M24" i="1"/>
  <c r="N21" i="2"/>
  <c r="M25" i="1"/>
  <c r="N22" i="2"/>
  <c r="M26" i="1"/>
  <c r="N23" i="2"/>
  <c r="N24" i="2"/>
  <c r="M28" i="1"/>
  <c r="N25" i="2"/>
  <c r="M29" i="1"/>
  <c r="N26" i="2"/>
  <c r="M30" i="1"/>
  <c r="N27" i="2"/>
  <c r="M31" i="1"/>
  <c r="N28" i="2"/>
  <c r="M32" i="1"/>
  <c r="N29" i="2"/>
  <c r="M33" i="1"/>
  <c r="N30" i="2"/>
  <c r="M34" i="1"/>
  <c r="N31" i="2"/>
  <c r="M36" i="1"/>
  <c r="N32" i="2"/>
  <c r="N33" i="2"/>
  <c r="M38" i="1"/>
  <c r="N34" i="2"/>
  <c r="M45" i="1"/>
  <c r="N35" i="2"/>
  <c r="N36" i="2"/>
  <c r="M54" i="1"/>
  <c r="N37" i="2"/>
  <c r="M55" i="1"/>
  <c r="N38" i="2"/>
  <c r="M56" i="1"/>
  <c r="N39" i="2"/>
  <c r="M57" i="1"/>
  <c r="N40" i="2"/>
  <c r="M58" i="1"/>
  <c r="N41" i="2"/>
  <c r="M59" i="1"/>
  <c r="N42" i="2"/>
  <c r="M61" i="1"/>
  <c r="N43" i="2"/>
  <c r="M62" i="1"/>
  <c r="N44" i="2"/>
  <c r="N45" i="2"/>
  <c r="N46" i="2"/>
  <c r="N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Q75" i="1"/>
  <c r="P75" i="1"/>
  <c r="L74" i="1"/>
  <c r="K74" i="1"/>
  <c r="J74" i="1"/>
  <c r="Q74" i="1"/>
  <c r="P74" i="1"/>
  <c r="L73" i="1"/>
  <c r="K73" i="1"/>
  <c r="J73" i="1"/>
  <c r="Q73" i="1"/>
  <c r="P73" i="1"/>
  <c r="L72" i="1"/>
  <c r="K72" i="1"/>
  <c r="J72" i="1"/>
  <c r="Q72" i="1"/>
  <c r="P72" i="1"/>
  <c r="L71" i="1"/>
  <c r="K71" i="1"/>
  <c r="J71" i="1"/>
  <c r="Q71" i="1"/>
  <c r="P71" i="1"/>
  <c r="L70" i="1"/>
  <c r="K70" i="1"/>
  <c r="J70" i="1"/>
  <c r="Q70" i="1"/>
  <c r="P70" i="1"/>
  <c r="L69" i="1"/>
  <c r="K69" i="1"/>
  <c r="J69" i="1"/>
  <c r="Q69" i="1"/>
  <c r="P69" i="1"/>
  <c r="L68" i="1"/>
  <c r="K68" i="1"/>
  <c r="J68" i="1"/>
  <c r="Q68" i="1"/>
  <c r="P68" i="1"/>
  <c r="L67" i="1"/>
  <c r="Q67" i="1"/>
  <c r="P67" i="1"/>
  <c r="Q66" i="1"/>
  <c r="P66" i="1"/>
  <c r="Q65" i="1"/>
  <c r="P65" i="1"/>
  <c r="Q64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M63" i="1" l="1"/>
  <c r="F63" i="1"/>
  <c r="J63" i="1"/>
  <c r="M64" i="1"/>
  <c r="F64" i="1"/>
  <c r="P64" i="1" s="1"/>
  <c r="J64" i="1"/>
  <c r="C3" i="2"/>
  <c r="O46" i="2"/>
  <c r="O45" i="2"/>
  <c r="Q63" i="1" s="1"/>
  <c r="O44" i="2"/>
  <c r="Q62" i="1" s="1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Q53" i="1" s="1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F83" i="1"/>
  <c r="P83" i="1" s="1"/>
  <c r="Q82" i="1"/>
  <c r="O82" i="1"/>
  <c r="N82" i="1"/>
  <c r="M82" i="1"/>
  <c r="F82" i="1"/>
  <c r="P82" i="1" s="1"/>
  <c r="Q81" i="1"/>
  <c r="O81" i="1"/>
  <c r="N81" i="1"/>
  <c r="M81" i="1"/>
  <c r="F81" i="1"/>
  <c r="P81" i="1" s="1"/>
  <c r="Q80" i="1"/>
  <c r="O80" i="1"/>
  <c r="N80" i="1"/>
  <c r="M80" i="1"/>
  <c r="F80" i="1"/>
  <c r="P80" i="1" s="1"/>
  <c r="Q79" i="1"/>
  <c r="O79" i="1"/>
  <c r="N79" i="1"/>
  <c r="M79" i="1"/>
  <c r="F79" i="1"/>
  <c r="P79" i="1" s="1"/>
  <c r="Q78" i="1"/>
  <c r="O78" i="1"/>
  <c r="N78" i="1"/>
  <c r="M78" i="1"/>
  <c r="F78" i="1"/>
  <c r="P78" i="1" s="1"/>
  <c r="Q77" i="1"/>
  <c r="O77" i="1"/>
  <c r="N77" i="1"/>
  <c r="M77" i="1"/>
  <c r="F77" i="1"/>
  <c r="P77" i="1" s="1"/>
  <c r="Q76" i="1"/>
  <c r="O76" i="1"/>
  <c r="N76" i="1"/>
  <c r="M76" i="1"/>
  <c r="F76" i="1"/>
  <c r="P76" i="1" s="1"/>
  <c r="P63" i="1"/>
  <c r="O63" i="1"/>
  <c r="L62" i="1"/>
  <c r="I62" i="1"/>
  <c r="H62" i="1"/>
  <c r="G62" i="1"/>
  <c r="K61" i="1"/>
  <c r="I61" i="1"/>
  <c r="H61" i="1"/>
  <c r="G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Q34" i="1" l="1"/>
  <c r="F37" i="1"/>
  <c r="K37" i="1"/>
  <c r="L37" i="1"/>
  <c r="G37" i="1"/>
  <c r="H37" i="1"/>
  <c r="I37" i="1"/>
  <c r="Q29" i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38" i="1" l="1"/>
  <c r="J37" i="1"/>
  <c r="R37" i="1" s="1"/>
  <c r="R10" i="1"/>
  <c r="R84" i="1" s="1"/>
  <c r="R17" i="1"/>
  <c r="R12" i="1"/>
  <c r="R29" i="1"/>
  <c r="R26" i="1"/>
  <c r="R20" i="1"/>
  <c r="R23" i="1"/>
  <c r="R18" i="1"/>
</calcChain>
</file>

<file path=xl/sharedStrings.xml><?xml version="1.0" encoding="utf-8"?>
<sst xmlns="http://schemas.openxmlformats.org/spreadsheetml/2006/main" count="225" uniqueCount="133">
  <si>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</si>
  <si>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</si>
  <si>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</si>
  <si>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</si>
  <si>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</si>
  <si>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</si>
  <si>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</si>
  <si>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</si>
  <si>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</si>
  <si>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</si>
  <si>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</si>
  <si>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</si>
  <si>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</si>
  <si>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</si>
  <si>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</si>
  <si>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</si>
  <si>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</si>
  <si>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</si>
  <si>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</si>
  <si>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</si>
  <si>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</si>
  <si>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</si>
  <si>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</si>
  <si>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</si>
  <si>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</si>
  <si>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</si>
  <si>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</si>
  <si>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</si>
  <si>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</si>
  <si>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</si>
  <si>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</si>
  <si>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</si>
  <si>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</si>
  <si>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</si>
  <si>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</si>
  <si>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</si>
  <si>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</si>
  <si>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</si>
  <si>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</si>
  <si>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</si>
  <si>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</si>
  <si>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</si>
  <si>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</si>
  <si>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</si>
  <si>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</si>
  <si>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</si>
  <si>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</si>
  <si>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</si>
  <si>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</si>
  <si>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</si>
  <si>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</si>
  <si>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</si>
  <si>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</si>
  <si>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</si>
  <si>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</si>
  <si>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</si>
  <si>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</si>
  <si>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</si>
  <si>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</si>
  <si>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</si>
  <si>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</si>
  <si>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</si>
  <si>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</si>
  <si>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</si>
  <si>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</si>
  <si>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</si>
  <si>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</si>
  <si>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</si>
  <si>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</si>
  <si>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</si>
  <si>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</si>
  <si>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</si>
  <si>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</si>
  <si>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</si>
  <si>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</si>
  <si>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</si>
  <si>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</si>
  <si>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</si>
  <si>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</si>
  <si>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</si>
  <si>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</si>
  <si>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</si>
  <si>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</si>
  <si>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</si>
  <si>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</si>
  <si>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</si>
  <si>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</si>
  <si>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</si>
  <si>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</si>
  <si>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</si>
  <si>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</si>
  <si>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</si>
  <si>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</si>
  <si>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</si>
  <si>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</si>
  <si>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</si>
  <si>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</si>
  <si>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</si>
  <si>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</si>
  <si>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</si>
  <si>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</si>
  <si>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</si>
  <si>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</si>
  <si>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</si>
  <si>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</si>
  <si>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</si>
  <si>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</si>
  <si>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</si>
  <si>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</si>
  <si>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</si>
  <si>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</si>
  <si>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</si>
  <si>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</si>
  <si>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</si>
  <si>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</si>
  <si>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</si>
  <si>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</si>
  <si>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</si>
  <si>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</si>
  <si>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</si>
  <si>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</si>
  <si>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</si>
  <si>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</si>
  <si>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</si>
  <si>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</si>
  <si>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</si>
  <si>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</si>
  <si>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</si>
  <si>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</si>
  <si>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</si>
  <si>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</si>
  <si>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</si>
  <si>
    <t>Departamento de Formulación, Monitoreo y Evaluación de 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</si>
</sst>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  <xf numFmtId="0" fontId="20" fillId="0" borderId="0"/>
  </cellStyleXfs>
  <cellXfs count="85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horizontal="right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49" fontId="5" fillId="0" borderId="0" xfId="0" applyNumberFormat="1" applyFont="1" applyAlignment="1">
      <alignment horizontal="left"/>
    </xf>
    <xf numFmtId="43" fontId="5" fillId="0" borderId="0" xfId="1" applyFont="1" applyAlignment="1">
      <alignment horizontal="right"/>
    </xf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2"/>
    </xf>
    <xf numFmtId="49" fontId="5" fillId="0" borderId="0" xfId="0" applyNumberFormat="1" applyFont="1" applyAlignment="1">
      <alignment horizontal="left" indent="3"/>
    </xf>
    <xf numFmtId="49" fontId="5" fillId="0" borderId="0" xfId="0" applyNumberFormat="1" applyFont="1" applyAlignment="1">
      <alignment horizontal="left" indent="4"/>
    </xf>
    <xf numFmtId="49" fontId="5" fillId="0" borderId="0" xfId="0" applyNumberFormat="1" applyFont="1" applyAlignment="1">
      <alignment horizontal="left" indent="5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673553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view="pageBreakPreview" topLeftCell="A75" zoomScaleNormal="40" zoomScaleSheetLayoutView="100" workbookViewId="0">
      <selection activeCell="D95" sqref="D95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23.42578125" style="20" bestFit="1" customWidth="1"/>
    <col min="5" max="5" width="22.5703125" style="20" bestFit="1" customWidth="1"/>
    <col min="6" max="6" width="20" bestFit="1" customWidth="1"/>
    <col min="7" max="7" width="20.28515625" customWidth="1"/>
    <col min="8" max="8" width="20" bestFit="1" customWidth="1"/>
    <col min="9" max="9" width="21" bestFit="1" customWidth="1"/>
    <col min="10" max="11" width="20" bestFit="1" customWidth="1"/>
    <col min="12" max="12" width="20.28515625" bestFit="1" customWidth="1"/>
    <col min="13" max="13" width="21.42578125" bestFit="1" customWidth="1"/>
    <col min="14" max="14" width="20.28515625" customWidth="1"/>
    <col min="15" max="15" width="20.28515625" bestFit="1" customWidth="1"/>
    <col min="16" max="16" width="13.5703125" bestFit="1" customWidth="1"/>
    <col min="17" max="17" width="13" bestFit="1" customWidth="1"/>
    <col min="18" max="18" width="21" bestFit="1" customWidth="1"/>
  </cols>
  <sheetData>
    <row r="3" spans="3:18" ht="28.5" customHeight="1">
      <c r="C3" s="70" t="s">
        <v>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3:18" ht="21" customHeight="1">
      <c r="C4" s="72" t="s">
        <v>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3:18" ht="15.75">
      <c r="C5" s="74" t="s">
        <v>119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3:18" ht="15.75" customHeight="1">
      <c r="C6" s="76" t="s">
        <v>2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3:18" ht="18" customHeight="1">
      <c r="C7" s="77" t="s">
        <v>3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1151008136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67012010.640000001</v>
      </c>
      <c r="K10" s="26">
        <f>IFERROR(VLOOKUP(C10,'Datos Abierto'!$B$3:$O$46,8,FALSE),0)</f>
        <v>82075545.709999993</v>
      </c>
      <c r="L10" s="26">
        <f>IFERROR(VLOOKUP(C10,'Datos Abierto'!$B$3:$O$46,9,FALSE),0)</f>
        <v>73697608.549999997</v>
      </c>
      <c r="M10" s="26">
        <f>IFERROR(VLOOKUP(C10,'Datos Abierto'!$B$3:$O$46,10,FALSE),0)</f>
        <v>105462706.54000001</v>
      </c>
      <c r="N10" s="26">
        <f>IFERROR(VLOOKUP(C10,'Datos Abierto'!$B$3:$O$46,11,FALSE),0)</f>
        <v>70079065.760000005</v>
      </c>
      <c r="O10" s="26">
        <f>IFERROR(VLOOKUP(C10,'Datos Abierto'!$B$3:$O$46,12,FALSE),0)</f>
        <v>89600019.25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804104433.17999995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36461558.780000001</v>
      </c>
      <c r="K11" s="28">
        <f>IFERROR(VLOOKUP(C11,'Datos Abierto'!$B$3:$O$46,8,FALSE),0)</f>
        <v>71364982.629999995</v>
      </c>
      <c r="L11" s="28">
        <f>IFERROR(VLOOKUP(C11,'Datos Abierto'!$B$3:$O$46,9,FALSE),0)</f>
        <v>38567367.25</v>
      </c>
      <c r="M11" s="28">
        <f>IFERROR(VLOOKUP(C11,'Datos Abierto'!$B$3:$O$46,10,FALSE),0)</f>
        <v>67090770.079999998</v>
      </c>
      <c r="N11" s="28">
        <f>IFERROR(VLOOKUP(C11,'Datos Abierto'!$B$3:$O$46,11,FALSE),0)</f>
        <v>52403025.829999998</v>
      </c>
      <c r="O11" s="28">
        <f>IFERROR(VLOOKUP(C11,'Datos Abierto'!$B$3:$O$46,12,FALSE),0)</f>
        <v>52608874.469999999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564566999.01999998</v>
      </c>
    </row>
    <row r="12" spans="3:18" s="18" customFormat="1" ht="17.25" customHeight="1">
      <c r="C12" s="29" t="s">
        <v>22</v>
      </c>
      <c r="D12" s="30">
        <v>610201281</v>
      </c>
      <c r="E12" s="30">
        <v>580788212.01999998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30527254.120000001</v>
      </c>
      <c r="K12" s="31">
        <f>IFERROR(VLOOKUP(C12,'Datos Abierto'!$B$3:$O$46,8,FALSE),0)</f>
        <v>60557681.299999997</v>
      </c>
      <c r="L12" s="31">
        <f>IFERROR(VLOOKUP(C12,'Datos Abierto'!$B$3:$O$46,9,FALSE),0)</f>
        <v>33189296.609999999</v>
      </c>
      <c r="M12" s="31">
        <f>IFERROR(VLOOKUP(C12,'Datos Abierto'!$B$3:$O$46,10,FALSE),0)</f>
        <v>57575377.07</v>
      </c>
      <c r="N12" s="31">
        <f>IFERROR(VLOOKUP(C12,'Datos Abierto'!$B$3:$O$46,11,FALSE),0)</f>
        <v>45228253.359999999</v>
      </c>
      <c r="O12" s="31">
        <f>IFERROR(VLOOKUP(C12,'Datos Abierto'!$B$3:$O$46,12,FALSE),0)</f>
        <v>43841114.280000001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462443132</v>
      </c>
    </row>
    <row r="13" spans="3:18" s="18" customFormat="1" ht="17.25" customHeight="1">
      <c r="C13" s="29" t="s">
        <v>23</v>
      </c>
      <c r="D13" s="31">
        <v>56406568</v>
      </c>
      <c r="E13" s="31">
        <v>63313068.979999997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1244320.18</v>
      </c>
      <c r="K13" s="31">
        <f>IFERROR(VLOOKUP(C13,'Datos Abierto'!$B$3:$O$46,8,FALSE),0)</f>
        <v>1565872.62</v>
      </c>
      <c r="L13" s="31">
        <f>IFERROR(VLOOKUP(C13,'Datos Abierto'!$B$3:$O$46,9,FALSE),0)</f>
        <v>667530.56000000006</v>
      </c>
      <c r="M13" s="31">
        <f>IFERROR(VLOOKUP(C13,'Datos Abierto'!$B$3:$O$46,10,FALSE),0)</f>
        <v>625572.17000000004</v>
      </c>
      <c r="N13" s="31">
        <f>IFERROR(VLOOKUP(C13,'Datos Abierto'!$B$3:$O$46,11,FALSE),0)</f>
        <v>418604.42</v>
      </c>
      <c r="O13" s="31">
        <f>IFERROR(VLOOKUP(C13,'Datos Abierto'!$B$3:$O$46,12,FALSE),0)</f>
        <v>2067455.23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31984337.030000005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39204.300000000003</v>
      </c>
      <c r="K14" s="31">
        <f>IFERROR(VLOOKUP(C14,'Datos Abierto'!$B$3:$O$46,8,FALSE),0)</f>
        <v>14336.2</v>
      </c>
      <c r="L14" s="31">
        <f>IFERROR(VLOOKUP(C14,'Datos Abierto'!$B$3:$O$46,9,FALSE),0)</f>
        <v>37446.410000000003</v>
      </c>
      <c r="M14" s="31">
        <f>IFERROR(VLOOKUP(C14,'Datos Abierto'!$B$3:$O$46,10,FALSE),0)</f>
        <v>0</v>
      </c>
      <c r="N14" s="31">
        <f>IFERROR(VLOOKUP(C14,'Datos Abierto'!$B$3:$O$46,11,FALSE),0)</f>
        <v>24384</v>
      </c>
      <c r="O14" s="31">
        <f>IFERROR(VLOOKUP(C14,'Datos Abierto'!$B$3:$O$46,12,FALSE),0)</f>
        <v>25920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162654.91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4650780.18</v>
      </c>
      <c r="K16" s="31">
        <f>IFERROR(VLOOKUP(C16,'Datos Abierto'!$B$3:$O$46,8,FALSE),0)</f>
        <v>9227092.5099999998</v>
      </c>
      <c r="L16" s="31">
        <f>IFERROR(VLOOKUP(C16,'Datos Abierto'!$B$3:$O$46,9,FALSE),0)</f>
        <v>4673093.67</v>
      </c>
      <c r="M16" s="31">
        <f>IFERROR(VLOOKUP(C16,'Datos Abierto'!$B$3:$O$46,10,FALSE),0)</f>
        <v>8889820.8399999999</v>
      </c>
      <c r="N16" s="31">
        <f>IFERROR(VLOOKUP(C16,'Datos Abierto'!$B$3:$O$46,11,FALSE),0)</f>
        <v>6731784.0499999998</v>
      </c>
      <c r="O16" s="31">
        <f>IFERROR(VLOOKUP(C16,'Datos Abierto'!$B$3:$O$46,12,FALSE),0)</f>
        <v>6674384.96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69976875.079999983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209944075.66999999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17034044.309999999</v>
      </c>
      <c r="K17" s="34">
        <f>IFERROR(VLOOKUP(C17,'Datos Abierto'!$B$3:$O$46,8,FALSE),0)</f>
        <v>9772953.7899999991</v>
      </c>
      <c r="L17" s="34">
        <f>IFERROR(VLOOKUP(C17,'Datos Abierto'!$B$3:$O$46,9,FALSE),0)</f>
        <v>20704410.969999999</v>
      </c>
      <c r="M17" s="34">
        <f>IFERROR(VLOOKUP(C17,'Datos Abierto'!$B$3:$O$46,10,FALSE),0)</f>
        <v>32493738.640000001</v>
      </c>
      <c r="N17" s="34">
        <f>IFERROR(VLOOKUP(C17,'Datos Abierto'!$B$3:$O$46,11,FALSE),0)</f>
        <v>14875956.23</v>
      </c>
      <c r="O17" s="34">
        <f>IFERROR(VLOOKUP(C17,'Datos Abierto'!$B$3:$O$46,12,FALSE),0)</f>
        <v>29155963.25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175050942.41</v>
      </c>
    </row>
    <row r="18" spans="3:18" s="18" customFormat="1" ht="17.25" customHeight="1">
      <c r="C18" s="29" t="s">
        <v>28</v>
      </c>
      <c r="D18" s="32">
        <v>47100000</v>
      </c>
      <c r="E18" s="32">
        <v>55862280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7252310.4699999997</v>
      </c>
      <c r="K18" s="31">
        <f>IFERROR(VLOOKUP(C18,'Datos Abierto'!$B$3:$O$46,8,FALSE),0)</f>
        <v>4070319.93</v>
      </c>
      <c r="L18" s="31">
        <f>IFERROR(VLOOKUP(C18,'Datos Abierto'!$B$3:$O$46,9,FALSE),0)</f>
        <v>13528594.439999999</v>
      </c>
      <c r="M18" s="31">
        <f>IFERROR(VLOOKUP(C18,'Datos Abierto'!$B$3:$O$46,10,FALSE),0)</f>
        <v>4205894.95</v>
      </c>
      <c r="N18" s="31">
        <f>IFERROR(VLOOKUP(C18,'Datos Abierto'!$B$3:$O$46,11,FALSE),0)</f>
        <v>8258158.6200000001</v>
      </c>
      <c r="O18" s="31">
        <f>IFERROR(VLOOKUP(C18,'Datos Abierto'!$B$3:$O$46,12,FALSE),0)</f>
        <v>14684350.15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75664451.959999993</v>
      </c>
    </row>
    <row r="19" spans="3:18" s="18" customFormat="1" ht="17.25" customHeight="1">
      <c r="C19" s="29" t="s">
        <v>29</v>
      </c>
      <c r="D19" s="30">
        <v>5000000</v>
      </c>
      <c r="E19" s="30">
        <v>9500000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722720</v>
      </c>
      <c r="K19" s="31">
        <f>IFERROR(VLOOKUP(C19,'Datos Abierto'!$B$3:$O$46,8,FALSE),0)</f>
        <v>571895.02</v>
      </c>
      <c r="L19" s="31">
        <f>IFERROR(VLOOKUP(C19,'Datos Abierto'!$B$3:$O$46,9,FALSE),0)</f>
        <v>964719.15</v>
      </c>
      <c r="M19" s="31">
        <f>IFERROR(VLOOKUP(C19,'Datos Abierto'!$B$3:$O$46,10,FALSE),0)</f>
        <v>1610491.8</v>
      </c>
      <c r="N19" s="31">
        <f>IFERROR(VLOOKUP(C19,'Datos Abierto'!$B$3:$O$46,11,FALSE),0)</f>
        <v>56173.9</v>
      </c>
      <c r="O19" s="31">
        <f>IFERROR(VLOOKUP(C19,'Datos Abierto'!$B$3:$O$46,12,FALSE),0)</f>
        <v>214170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5293505.1100000003</v>
      </c>
    </row>
    <row r="20" spans="3:18" s="18" customFormat="1" ht="17.25" customHeight="1">
      <c r="C20" s="29" t="s">
        <v>30</v>
      </c>
      <c r="D20" s="30">
        <v>700000</v>
      </c>
      <c r="E20" s="30">
        <v>5475000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635850</v>
      </c>
      <c r="L20" s="31">
        <f>IFERROR(VLOOKUP(C20,'Datos Abierto'!$B$3:$O$46,9,FALSE),0)</f>
        <v>0</v>
      </c>
      <c r="M20" s="31">
        <f>IFERROR(VLOOKUP(C20,'Datos Abierto'!$B$3:$O$46,10,FALSE),0)</f>
        <v>756561.5</v>
      </c>
      <c r="N20" s="31">
        <f>IFERROR(VLOOKUP(C20,'Datos Abierto'!$B$3:$O$46,11,FALSE),0)</f>
        <v>232834.64</v>
      </c>
      <c r="O20" s="31">
        <f>IFERROR(VLOOKUP(C20,'Datos Abierto'!$B$3:$O$46,12,FALSE),0)</f>
        <v>1136974.56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4675097.4000000004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1103412.3</v>
      </c>
      <c r="K21" s="31">
        <f>IFERROR(VLOOKUP(C21,'Datos Abierto'!$B$3:$O$46,8,FALSE),0)</f>
        <v>0</v>
      </c>
      <c r="L21" s="31">
        <f>IFERROR(VLOOKUP(C21,'Datos Abierto'!$B$3:$O$46,9,FALSE),0)</f>
        <v>56404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126624.84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1706050.0200000003</v>
      </c>
    </row>
    <row r="22" spans="3:18" s="18" customFormat="1" ht="17.25" customHeight="1">
      <c r="C22" s="29" t="s">
        <v>32</v>
      </c>
      <c r="D22" s="32">
        <v>3700000</v>
      </c>
      <c r="E22" s="32">
        <v>67722827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4276284.54</v>
      </c>
      <c r="K22" s="31">
        <f>IFERROR(VLOOKUP(C22,'Datos Abierto'!$B$3:$O$46,8,FALSE),0)</f>
        <v>3004761.57</v>
      </c>
      <c r="L22" s="31">
        <f>IFERROR(VLOOKUP(C22,'Datos Abierto'!$B$3:$O$46,9,FALSE),0)</f>
        <v>2049362.34</v>
      </c>
      <c r="M22" s="31">
        <f>IFERROR(VLOOKUP(C22,'Datos Abierto'!$B$3:$O$46,10,FALSE),0)</f>
        <v>15433913.619999999</v>
      </c>
      <c r="N22" s="31">
        <f>IFERROR(VLOOKUP(C22,'Datos Abierto'!$B$3:$O$46,11,FALSE),0)</f>
        <v>4283668.0999999996</v>
      </c>
      <c r="O22" s="31">
        <f>IFERROR(VLOOKUP(C22,'Datos Abierto'!$B$3:$O$46,12,FALSE),0)</f>
        <v>6042261.3899999997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48022248.910000004</v>
      </c>
    </row>
    <row r="23" spans="3:18" s="18" customFormat="1" ht="17.25" customHeight="1">
      <c r="C23" s="29" t="s">
        <v>33</v>
      </c>
      <c r="D23" s="32">
        <v>9300185</v>
      </c>
      <c r="E23" s="32">
        <v>13996949.539999999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2593133.54</v>
      </c>
      <c r="K23" s="31">
        <f>IFERROR(VLOOKUP(C23,'Datos Abierto'!$B$3:$O$46,8,FALSE),0)</f>
        <v>355222.13</v>
      </c>
      <c r="L23" s="31">
        <f>IFERROR(VLOOKUP(C23,'Datos Abierto'!$B$3:$O$46,9,FALSE),0)</f>
        <v>2555701.87</v>
      </c>
      <c r="M23" s="31">
        <f>IFERROR(VLOOKUP(C23,'Datos Abierto'!$B$3:$O$46,10,FALSE),0)</f>
        <v>4754537.18</v>
      </c>
      <c r="N23" s="31">
        <f>IFERROR(VLOOKUP(C23,'Datos Abierto'!$B$3:$O$46,11,FALSE),0)</f>
        <v>340222.66</v>
      </c>
      <c r="O23" s="31">
        <f>IFERROR(VLOOKUP(C23,'Datos Abierto'!$B$3:$O$46,12,FALSE),0)</f>
        <v>339709.16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12396899.27</v>
      </c>
    </row>
    <row r="24" spans="3:18" s="18" customFormat="1" ht="18" customHeight="1">
      <c r="C24" s="29" t="s">
        <v>34</v>
      </c>
      <c r="D24" s="32">
        <v>34250000</v>
      </c>
      <c r="E24" s="32">
        <v>34237019.130000003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996183.46</v>
      </c>
      <c r="K24" s="31">
        <f>IFERROR(VLOOKUP(C24,'Datos Abierto'!$B$3:$O$46,8,FALSE),0)</f>
        <v>264737.26</v>
      </c>
      <c r="L24" s="31">
        <f>IFERROR(VLOOKUP(C24,'Datos Abierto'!$B$3:$O$46,9,FALSE),0)</f>
        <v>1189378.99</v>
      </c>
      <c r="M24" s="31">
        <f>IFERROR(VLOOKUP(C24,'Datos Abierto'!$B$3:$O$46,10,FALSE),0)</f>
        <v>4362812.26</v>
      </c>
      <c r="N24" s="31">
        <f>IFERROR(VLOOKUP(C24,'Datos Abierto'!$B$3:$O$46,11,FALSE),0)</f>
        <v>378867.08</v>
      </c>
      <c r="O24" s="31">
        <f>IFERROR(VLOOKUP(C24,'Datos Abierto'!$B$3:$O$46,12,FALSE),0)</f>
        <v>2210098.69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17950713.990000002</v>
      </c>
    </row>
    <row r="25" spans="3:18" s="18" customFormat="1" ht="18" customHeight="1">
      <c r="C25" s="29" t="s">
        <v>35</v>
      </c>
      <c r="D25" s="30">
        <v>6600000</v>
      </c>
      <c r="E25" s="30">
        <v>17050000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90000</v>
      </c>
      <c r="K25" s="31">
        <f>IFERROR(VLOOKUP(C25,'Datos Abierto'!$B$3:$O$46,8,FALSE),0)</f>
        <v>584414.55000000005</v>
      </c>
      <c r="L25" s="31">
        <f>IFERROR(VLOOKUP(C25,'Datos Abierto'!$B$3:$O$46,9,FALSE),0)</f>
        <v>360250.18</v>
      </c>
      <c r="M25" s="31">
        <f>IFERROR(VLOOKUP(C25,'Datos Abierto'!$B$3:$O$46,10,FALSE),0)</f>
        <v>924208.09</v>
      </c>
      <c r="N25" s="31">
        <f>IFERROR(VLOOKUP(C25,'Datos Abierto'!$B$3:$O$46,11,FALSE),0)</f>
        <v>1176031.23</v>
      </c>
      <c r="O25" s="31">
        <f>IFERROR(VLOOKUP(C25,'Datos Abierto'!$B$3:$O$46,12,FALSE),0)</f>
        <v>3654199.87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7299008.5899999999</v>
      </c>
    </row>
    <row r="26" spans="3:18" s="18" customFormat="1" ht="18" customHeight="1">
      <c r="C26" s="29" t="s">
        <v>36</v>
      </c>
      <c r="D26" s="30">
        <v>2600000</v>
      </c>
      <c r="E26" s="30">
        <v>3600000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285753.33</v>
      </c>
      <c r="L26" s="31">
        <f>IFERROR(VLOOKUP(C26,'Datos Abierto'!$B$3:$O$46,9,FALSE),0)</f>
        <v>0</v>
      </c>
      <c r="M26" s="31">
        <f>IFERROR(VLOOKUP(C26,'Datos Abierto'!$B$3:$O$46,10,FALSE),0)</f>
        <v>445319.24</v>
      </c>
      <c r="N26" s="31">
        <f>IFERROR(VLOOKUP(C26,'Datos Abierto'!$B$3:$O$46,11,FALSE),0)</f>
        <v>150000</v>
      </c>
      <c r="O26" s="31">
        <f>IFERROR(VLOOKUP(C26,'Datos Abierto'!$B$3:$O$46,12,FALSE),0)</f>
        <v>747574.59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2042967.1600000001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56882001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12099870.42</v>
      </c>
      <c r="K27" s="34">
        <f>IFERROR(VLOOKUP(C27,'Datos Abierto'!$B$3:$O$46,8,FALSE),0)</f>
        <v>724683.81</v>
      </c>
      <c r="L27" s="34">
        <f>IFERROR(VLOOKUP(C27,'Datos Abierto'!$B$3:$O$46,9,FALSE),0)</f>
        <v>6961153.5499999998</v>
      </c>
      <c r="M27" s="34">
        <f>IFERROR(VLOOKUP(C27,'Datos Abierto'!$B$3:$O$46,10,FALSE),0)</f>
        <v>4536865.0199999996</v>
      </c>
      <c r="N27" s="34">
        <f>IFERROR(VLOOKUP(C27,'Datos Abierto'!$B$3:$O$46,11,FALSE),0)</f>
        <v>1079755.3799999999</v>
      </c>
      <c r="O27" s="34">
        <f>IFERROR(VLOOKUP(C27,'Datos Abierto'!$B$3:$O$46,12,FALSE),0)</f>
        <v>6251753.29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39147468.909999996</v>
      </c>
    </row>
    <row r="28" spans="3:18" s="18" customFormat="1" ht="18" customHeight="1">
      <c r="C28" s="29" t="s">
        <v>38</v>
      </c>
      <c r="D28" s="30">
        <v>1800000</v>
      </c>
      <c r="E28" s="30">
        <v>1933438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438287.32</v>
      </c>
      <c r="K28" s="31">
        <f>IFERROR(VLOOKUP(C28,'Datos Abierto'!$B$3:$O$46,8,FALSE),0)</f>
        <v>74892</v>
      </c>
      <c r="L28" s="31">
        <f>IFERROR(VLOOKUP(C28,'Datos Abierto'!$B$3:$O$46,9,FALSE),0)</f>
        <v>65344</v>
      </c>
      <c r="M28" s="31">
        <f>IFERROR(VLOOKUP(C28,'Datos Abierto'!$B$3:$O$46,10,FALSE),0)</f>
        <v>482503.5</v>
      </c>
      <c r="N28" s="31">
        <f>IFERROR(VLOOKUP(C28,'Datos Abierto'!$B$3:$O$46,11,FALSE),0)</f>
        <v>175511.38</v>
      </c>
      <c r="O28" s="31">
        <f>IFERROR(VLOOKUP(C28,'Datos Abierto'!$B$3:$O$46,12,FALSE),0)</f>
        <v>118528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1381039.1800000002</v>
      </c>
    </row>
    <row r="29" spans="3:18" s="18" customFormat="1" ht="18" customHeight="1">
      <c r="C29" s="29" t="s">
        <v>39</v>
      </c>
      <c r="D29" s="30">
        <v>2200000</v>
      </c>
      <c r="E29" s="30">
        <v>803298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1400000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776056.5</v>
      </c>
      <c r="K30" s="31">
        <f>IFERROR(VLOOKUP(C30,'Datos Abierto'!$B$3:$O$46,8,FALSE),0)</f>
        <v>15670.4</v>
      </c>
      <c r="L30" s="31">
        <f>IFERROR(VLOOKUP(C30,'Datos Abierto'!$B$3:$O$46,9,FALSE),0)</f>
        <v>296988.89</v>
      </c>
      <c r="M30" s="31">
        <f>IFERROR(VLOOKUP(C30,'Datos Abierto'!$B$3:$O$46,10,FALSE),0)</f>
        <v>57754.51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1146470.3</v>
      </c>
    </row>
    <row r="31" spans="3:18" s="18" customFormat="1" ht="18" customHeight="1">
      <c r="C31" s="29" t="s">
        <v>41</v>
      </c>
      <c r="D31" s="30">
        <v>250000</v>
      </c>
      <c r="E31" s="30">
        <v>435000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3269.25</v>
      </c>
      <c r="N31" s="31">
        <f>IFERROR(VLOOKUP(C31,'Datos Abierto'!$B$3:$O$46,11,FALSE),0)</f>
        <v>0</v>
      </c>
      <c r="O31" s="31">
        <f>IFERROR(VLOOKUP(C31,'Datos Abierto'!$B$3:$O$46,12,FALSE),0)</f>
        <v>101872.8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105142.05</v>
      </c>
    </row>
    <row r="32" spans="3:18" s="18" customFormat="1" ht="18" customHeight="1">
      <c r="C32" s="29" t="s">
        <v>42</v>
      </c>
      <c r="D32" s="30">
        <v>250000</v>
      </c>
      <c r="E32" s="30">
        <v>4250000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33691.360000000001</v>
      </c>
      <c r="L32" s="31">
        <f>IFERROR(VLOOKUP(C32,'Datos Abierto'!$B$3:$O$46,9,FALSE),0)</f>
        <v>41872.68</v>
      </c>
      <c r="M32" s="31">
        <f>IFERROR(VLOOKUP(C32,'Datos Abierto'!$B$3:$O$46,10,FALSE),0)</f>
        <v>0</v>
      </c>
      <c r="N32" s="31">
        <f>IFERROR(VLOOKUP(C32,'Datos Abierto'!$B$3:$O$46,11,FALSE),0)</f>
        <v>67496</v>
      </c>
      <c r="O32" s="31">
        <f>IFERROR(VLOOKUP(C32,'Datos Abierto'!$B$3:$O$46,12,FALSE),0)</f>
        <v>41872.68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229300.72</v>
      </c>
    </row>
    <row r="33" spans="3:18" s="18" customFormat="1" ht="18" customHeight="1">
      <c r="C33" s="29" t="s">
        <v>43</v>
      </c>
      <c r="D33" s="30">
        <v>3200000</v>
      </c>
      <c r="E33" s="30">
        <v>2840000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2976.9</v>
      </c>
      <c r="L33" s="31">
        <f>IFERROR(VLOOKUP(C33,'Datos Abierto'!$B$3:$O$46,9,FALSE),0)</f>
        <v>88075.199999999997</v>
      </c>
      <c r="M33" s="31">
        <f>IFERROR(VLOOKUP(C33,'Datos Abierto'!$B$3:$O$46,10,FALSE),0)</f>
        <v>958860.72</v>
      </c>
      <c r="N33" s="31">
        <f>IFERROR(VLOOKUP(C33,'Datos Abierto'!$B$3:$O$46,11,FALSE),0)</f>
        <v>33040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1259752.22</v>
      </c>
    </row>
    <row r="34" spans="3:18" s="18" customFormat="1" ht="18" customHeight="1">
      <c r="C34" s="29" t="s">
        <v>44</v>
      </c>
      <c r="D34" s="30">
        <v>21050000</v>
      </c>
      <c r="E34" s="30">
        <v>21060000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24160265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10885526.6</v>
      </c>
      <c r="K36" s="31">
        <f>IFERROR(VLOOKUP(C36,'Datos Abierto'!$B$3:$O$46,8,FALSE),0)</f>
        <v>521494.6</v>
      </c>
      <c r="L36" s="31">
        <f>IFERROR(VLOOKUP(C36,'Datos Abierto'!$B$3:$O$46,9,FALSE),0)</f>
        <v>581427.48</v>
      </c>
      <c r="M36" s="31">
        <f>IFERROR(VLOOKUP(C36,'Datos Abierto'!$B$3:$O$46,10,FALSE),0)</f>
        <v>3028341.04</v>
      </c>
      <c r="N36" s="31">
        <f>IFERROR(VLOOKUP(C36,'Datos Abierto'!$B$3:$O$46,11,FALSE),0)</f>
        <v>517058</v>
      </c>
      <c r="O36" s="31">
        <f>IFERROR(VLOOKUP(C36,'Datos Abierto'!$B$3:$O$46,12,FALSE),0)</f>
        <v>588428.81000000006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18200623.389999997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 t="shared" ref="E37:L37" si="4">SUM(E38:E45)</f>
        <v>2920000</v>
      </c>
      <c r="F37" s="34">
        <f t="shared" si="4"/>
        <v>0</v>
      </c>
      <c r="G37" s="34">
        <f t="shared" si="4"/>
        <v>282102.93</v>
      </c>
      <c r="H37" s="34">
        <f t="shared" si="4"/>
        <v>25000</v>
      </c>
      <c r="I37" s="34">
        <f t="shared" si="4"/>
        <v>286732.09999999998</v>
      </c>
      <c r="J37" s="34">
        <f t="shared" si="4"/>
        <v>445677.11</v>
      </c>
      <c r="K37" s="34">
        <f t="shared" si="4"/>
        <v>212925.48</v>
      </c>
      <c r="L37" s="34">
        <f t="shared" si="4"/>
        <v>74000</v>
      </c>
      <c r="M37" s="34">
        <f>IFERROR(VLOOKUP(C37,'Datos Abierto'!$B$3:$O$46,10,FALSE),0)</f>
        <v>11500</v>
      </c>
      <c r="N37" s="34">
        <f>IFERROR(VLOOKUP(C37,'Datos Abierto'!$B$3:$O$46,11,FALSE),0)</f>
        <v>97338.23</v>
      </c>
      <c r="O37" s="34">
        <f>IFERROR(VLOOKUP(C37,'Datos Abierto'!$B$3:$O$46,12,FALSE),0)</f>
        <v>435004.26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1870280.11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445677.11</v>
      </c>
      <c r="K38" s="31">
        <f>IFERROR(VLOOKUP(C38,'Datos Abierto'!$B$3:$O$46,8,FALSE),0)</f>
        <v>212925.48</v>
      </c>
      <c r="L38" s="31">
        <f>IFERROR(VLOOKUP(C38,'Datos Abierto'!$B$3:$O$46,9,FALSE),0)</f>
        <v>74000</v>
      </c>
      <c r="M38" s="31">
        <f>IFERROR(VLOOKUP(C38,'Datos Abierto'!$B$3:$O$46,10,FALSE),0)</f>
        <v>11500</v>
      </c>
      <c r="N38" s="31">
        <f>IFERROR(VLOOKUP(C38,'Datos Abierto'!$B$3:$O$46,11,FALSE),0)</f>
        <v>97338.23</v>
      </c>
      <c r="O38" s="31">
        <f>IFERROR(VLOOKUP(C38,'Datos Abierto'!$B$3:$O$46,12,FALSE),0)</f>
        <v>328951.76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1764227.61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5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5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5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5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5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5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5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5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5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5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5"/>
        <v>0</v>
      </c>
    </row>
    <row r="53" spans="3:18" s="19" customFormat="1" ht="18" customHeight="1">
      <c r="C53" s="33" t="s">
        <v>63</v>
      </c>
      <c r="D53" s="34">
        <f t="shared" ref="D53:E53" si="6">SUM(D54:D62)</f>
        <v>28226259</v>
      </c>
      <c r="E53" s="34">
        <f t="shared" si="6"/>
        <v>88708699.870000005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970860.02</v>
      </c>
      <c r="K53" s="34">
        <f>IFERROR(VLOOKUP(C53,'Datos Abierto'!$B$3:$O$46,8,FALSE),0)</f>
        <v>0</v>
      </c>
      <c r="L53" s="34">
        <f>IFERROR(VLOOKUP(C53,'Datos Abierto'!$B$3:$O$46,9,FALSE),0)</f>
        <v>7390676.7800000003</v>
      </c>
      <c r="M53" s="34">
        <f>IFERROR(VLOOKUP(C53,'Datos Abierto'!$B$3:$O$46,10,FALSE),0)</f>
        <v>1329832.8</v>
      </c>
      <c r="N53" s="34">
        <f>IFERROR(VLOOKUP(C53,'Datos Abierto'!$B$3:$O$46,11,FALSE),0)</f>
        <v>1622990.09</v>
      </c>
      <c r="O53" s="34">
        <f>IFERROR(VLOOKUP(C53,'Datos Abierto'!$B$3:$O$46,12,FALSE),0)</f>
        <v>946569.64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5"/>
        <v>22590397.969999999</v>
      </c>
    </row>
    <row r="54" spans="3:18" s="18" customFormat="1" ht="18" customHeight="1">
      <c r="C54" s="29" t="s">
        <v>64</v>
      </c>
      <c r="D54" s="32">
        <v>13326259</v>
      </c>
      <c r="E54" s="32">
        <v>45949733.380000003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6791063.7800000003</v>
      </c>
      <c r="M54" s="31">
        <f>IFERROR(VLOOKUP(C54,'Datos Abierto'!$B$3:$O$46,10,FALSE),0)</f>
        <v>552470.1</v>
      </c>
      <c r="N54" s="31">
        <f>IFERROR(VLOOKUP(C54,'Datos Abierto'!$B$3:$O$46,11,FALSE),0)</f>
        <v>738337.01</v>
      </c>
      <c r="O54" s="31">
        <f>IFERROR(VLOOKUP(C54,'Datos Abierto'!$B$3:$O$46,12,FALSE),0)</f>
        <v>946569.64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5"/>
        <v>17815361.48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580184.69999999995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5"/>
        <v>580184.69999999995</v>
      </c>
    </row>
    <row r="56" spans="3:18" s="18" customFormat="1" ht="18" customHeight="1">
      <c r="C56" s="29" t="s">
        <v>66</v>
      </c>
      <c r="D56" s="30">
        <v>100000</v>
      </c>
      <c r="E56" s="30">
        <v>900000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25960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5"/>
        <v>34574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5"/>
        <v>0</v>
      </c>
    </row>
    <row r="58" spans="3:18" s="18" customFormat="1" ht="18" customHeight="1">
      <c r="C58" s="29" t="s">
        <v>68</v>
      </c>
      <c r="D58" s="30">
        <v>5000000</v>
      </c>
      <c r="E58" s="30">
        <v>29008966.489999998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595000</v>
      </c>
      <c r="K58" s="31">
        <f>IFERROR(VLOOKUP(C58,'Datos Abierto'!$B$3:$O$46,8,FALSE),0)</f>
        <v>0</v>
      </c>
      <c r="L58" s="31">
        <f>IFERROR(VLOOKUP(C58,'Datos Abierto'!$B$3:$O$46,9,FALSE),0)</f>
        <v>449613</v>
      </c>
      <c r="M58" s="31">
        <f>IFERROR(VLOOKUP(C58,'Datos Abierto'!$B$3:$O$46,10,FALSE),0)</f>
        <v>171218</v>
      </c>
      <c r="N58" s="31">
        <f>IFERROR(VLOOKUP(C58,'Datos Abierto'!$B$3:$O$46,11,FALSE),0)</f>
        <v>884653.08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5"/>
        <v>3481017.77</v>
      </c>
    </row>
    <row r="59" spans="3:18" s="18" customFormat="1" ht="18" customHeight="1">
      <c r="C59" s="29" t="s">
        <v>69</v>
      </c>
      <c r="D59" s="30">
        <v>1000000</v>
      </c>
      <c r="E59" s="30">
        <v>2550000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375860.02</v>
      </c>
      <c r="K59" s="31">
        <f>IFERROR(VLOOKUP(C59,'Datos Abierto'!$B$3:$O$46,8,FALSE),0)</f>
        <v>0</v>
      </c>
      <c r="L59" s="31">
        <f>IFERROR(VLOOKUP(C59,'Datos Abierto'!$B$3:$O$46,9,FALSE),0)</f>
        <v>150000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5"/>
        <v>525860.02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5"/>
        <v>0</v>
      </c>
    </row>
    <row r="61" spans="3:18" s="18" customFormat="1" ht="18" customHeight="1">
      <c r="C61" s="29" t="s">
        <v>71</v>
      </c>
      <c r="D61" s="30">
        <v>1000000</v>
      </c>
      <c r="E61" s="30">
        <v>800000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5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5"/>
        <v>153400</v>
      </c>
    </row>
    <row r="63" spans="3:18" s="61" customFormat="1" ht="18" customHeight="1">
      <c r="C63" s="57" t="s">
        <v>73</v>
      </c>
      <c r="D63" s="58">
        <f>+D64</f>
        <v>169000000</v>
      </c>
      <c r="E63" s="58">
        <f>+E64</f>
        <v>63528235.460000001</v>
      </c>
      <c r="F63" s="31">
        <f>IFERROR(VLOOKUP(C63,'Datos Abierto'!$B$3:$O$46,10,FALSE),0)</f>
        <v>0</v>
      </c>
      <c r="G63" s="31">
        <f>IFERROR(VLOOKUP(C63,'Datos Abierto'!$B$3:$O$46,4,FALSE),0)</f>
        <v>676490.42</v>
      </c>
      <c r="H63" s="31">
        <f>IFERROR(VLOOKUP(C63,'Datos Abierto'!$B$3:$O$46,5,FALSE),0)</f>
        <v>0</v>
      </c>
      <c r="I63" s="31">
        <f>IFERROR(VLOOKUP(C63,'Datos Abierto'!$B$3:$O$46,6,FALSE),0)</f>
        <v>0</v>
      </c>
      <c r="J63" s="31">
        <f>IFERROR(VLOOKUP(C63,'Datos Abierto'!$B$3:$O$46,10,FALSE),0)</f>
        <v>0</v>
      </c>
      <c r="K63" s="31">
        <f>IFERROR(VLOOKUP(C63,'Datos Abierto'!$B$3:$O$46,8,FALSE),0)</f>
        <v>0</v>
      </c>
      <c r="L63" s="31">
        <f>IFERROR(VLOOKUP(C63,'Datos Abierto'!$B$3:$O$46,9,FALSE),0)</f>
        <v>0</v>
      </c>
      <c r="M63" s="59">
        <f>IFERROR(VLOOKUP(C63,'Datos Abierto'!$B$3:$O$46,10,FALSE),0)</f>
        <v>0</v>
      </c>
      <c r="N63" s="59">
        <f>+SUMIFS('Datos Abierto'!$K$3:$K$44,'Datos Abierto'!$B$3:$B$44,D63)</f>
        <v>0</v>
      </c>
      <c r="O63" s="59">
        <f>+SUMIFS('Datos Abierto'!$K$3:$K$44,'Datos Abierto'!$B$3:$B$44,E63)</f>
        <v>0</v>
      </c>
      <c r="P63" s="59">
        <f>+SUMIFS('Datos Abierto'!$N$3:$N$44,'Datos Abierto'!$B$3:$B$44,C63)</f>
        <v>0</v>
      </c>
      <c r="Q63" s="59">
        <f>+SUMIFS('Datos Abierto'!$O$3:$O$46,'Datos Abierto'!$B$3:$B$46,C63)</f>
        <v>0</v>
      </c>
      <c r="R63" s="60">
        <f t="shared" si="5"/>
        <v>676490.42</v>
      </c>
    </row>
    <row r="64" spans="3:18" s="18" customFormat="1" ht="18" customHeight="1">
      <c r="C64" s="29" t="s">
        <v>74</v>
      </c>
      <c r="D64" s="30">
        <v>169000000</v>
      </c>
      <c r="E64" s="30">
        <v>63528235.460000001</v>
      </c>
      <c r="F64" s="31">
        <f>IFERROR(VLOOKUP(C64,'Datos Abierto'!$B$3:$O$46,10,FALSE),0)</f>
        <v>0</v>
      </c>
      <c r="G64" s="31">
        <f>IFERROR(VLOOKUP(C64,'Datos Abierto'!$B$3:$O$46,4,FALSE),0)</f>
        <v>676490.42</v>
      </c>
      <c r="H64" s="31">
        <f>IFERROR(VLOOKUP(C64,'Datos Abierto'!$B$3:$O$46,5,FALSE),0)</f>
        <v>0</v>
      </c>
      <c r="I64" s="31">
        <f>IFERROR(VLOOKUP(C64,'Datos Abierto'!$B$3:$O$46,6,FALSE),0)</f>
        <v>0</v>
      </c>
      <c r="J64" s="31">
        <f>IFERROR(VLOOKUP(C64,'Datos Abierto'!$B$3:$O$46,10,FALSE),0)</f>
        <v>0</v>
      </c>
      <c r="K64" s="31">
        <f>IFERROR(VLOOKUP(C64,'Datos Abierto'!$B$3:$O$46,8,FALSE),0)</f>
        <v>0</v>
      </c>
      <c r="L64" s="31">
        <f>IFERROR(VLOOKUP(C64,'Datos Abierto'!$B$3:$O$46,9,FALSE),0)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5"/>
        <v>676490.42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IFERROR(VLOOKUP(C65,'Datos Abierto'!$B$3:$O$46,10,FALSE),0)</f>
        <v>0</v>
      </c>
      <c r="G65" s="31">
        <f>IFERROR(VLOOKUP(C65,'Datos Abierto'!$B$3:$O$46,4,FALSE),0)</f>
        <v>0</v>
      </c>
      <c r="H65" s="31">
        <f>IFERROR(VLOOKUP(C65,'Datos Abierto'!$B$3:$O$46,5,FALSE),0)</f>
        <v>0</v>
      </c>
      <c r="I65" s="31">
        <f>IFERROR(VLOOKUP(C65,'Datos Abierto'!$B$3:$O$46,6,FALSE),0)</f>
        <v>0</v>
      </c>
      <c r="J65" s="31">
        <f>IFERROR(VLOOKUP(C65,'Datos Abierto'!$B$3:$O$46,10,FALSE),0)</f>
        <v>0</v>
      </c>
      <c r="K65" s="31">
        <f>IFERROR(VLOOKUP(C65,'Datos Abierto'!$B$3:$O$46,8,FALSE),0)</f>
        <v>0</v>
      </c>
      <c r="L65" s="31">
        <f>IFERROR(VLOOKUP(C65,'Datos Abierto'!$B$3:$O$46,9,FALSE),0)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5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IFERROR(VLOOKUP(C66,'Datos Abierto'!$B$3:$O$46,10,FALSE),0)</f>
        <v>0</v>
      </c>
      <c r="G66" s="31">
        <f>IFERROR(VLOOKUP(C66,'Datos Abierto'!$B$3:$O$46,4,FALSE),0)</f>
        <v>0</v>
      </c>
      <c r="H66" s="31">
        <f>IFERROR(VLOOKUP(C66,'Datos Abierto'!$B$3:$O$46,5,FALSE),0)</f>
        <v>0</v>
      </c>
      <c r="I66" s="31">
        <f>IFERROR(VLOOKUP(C66,'Datos Abierto'!$B$3:$O$46,6,FALSE),0)</f>
        <v>0</v>
      </c>
      <c r="J66" s="31">
        <f>IFERROR(VLOOKUP(C66,'Datos Abierto'!$B$3:$O$46,10,FALSE),0)</f>
        <v>0</v>
      </c>
      <c r="K66" s="31">
        <f>IFERROR(VLOOKUP(C66,'Datos Abierto'!$B$3:$O$46,8,FALSE),0)</f>
        <v>0</v>
      </c>
      <c r="L66" s="31">
        <f>IFERROR(VLOOKUP(C66,'Datos Abierto'!$B$3:$O$46,9,FALSE),0)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5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IFERROR(VLOOKUP(C67,'Datos Abierto'!$B$3:$O$46,10,FALSE),0)</f>
        <v>0</v>
      </c>
      <c r="G67" s="31">
        <f>IFERROR(VLOOKUP(C67,'Datos Abierto'!$B$3:$O$46,4,FALSE),0)</f>
        <v>0</v>
      </c>
      <c r="H67" s="31">
        <f>IFERROR(VLOOKUP(C67,'Datos Abierto'!$B$3:$O$46,5,FALSE),0)</f>
        <v>0</v>
      </c>
      <c r="I67" s="31">
        <f>IFERROR(VLOOKUP(C67,'Datos Abierto'!$B$3:$O$46,6,FALSE),0)</f>
        <v>0</v>
      </c>
      <c r="J67" s="31">
        <f>IFERROR(VLOOKUP(C67,'Datos Abierto'!$B$3:$O$46,10,FALSE),0)</f>
        <v>0</v>
      </c>
      <c r="K67" s="31">
        <f>IFERROR(VLOOKUP(C67,'Datos Abierto'!$B$3:$O$46,8,FALSE),0)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5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IFERROR(VLOOKUP(C68,'Datos Abierto'!$B$3:$O$46,10,FALSE),0)</f>
        <v>0</v>
      </c>
      <c r="G68" s="31">
        <f>IFERROR(VLOOKUP(C68,'Datos Abierto'!$B$3:$O$46,4,FALSE),0)</f>
        <v>0</v>
      </c>
      <c r="H68" s="31">
        <f>IFERROR(VLOOKUP(C68,'Datos Abierto'!$B$3:$O$46,5,FALSE),0)</f>
        <v>0</v>
      </c>
      <c r="I68" s="31">
        <f>IFERROR(VLOOKUP(B68,'Datos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5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IFERROR(VLOOKUP(C69,'Datos Abierto'!$B$3:$O$46,10,FALSE),0)</f>
        <v>0</v>
      </c>
      <c r="G69" s="31">
        <f>IFERROR(VLOOKUP(C69,'Datos Abierto'!$B$3:$O$46,4,FALSE),0)</f>
        <v>0</v>
      </c>
      <c r="H69" s="31">
        <f>IFERROR(VLOOKUP(C69,'Datos Abierto'!$B$3:$O$46,5,FALSE),0)</f>
        <v>0</v>
      </c>
      <c r="I69" s="31">
        <f>IFERROR(VLOOKUP(B69,'Datos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5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IFERROR(VLOOKUP(C70,'Datos Abierto'!$B$3:$O$46,10,FALSE),0)</f>
        <v>0</v>
      </c>
      <c r="G70" s="31">
        <f>IFERROR(VLOOKUP(C70,'Datos Abierto'!$B$3:$O$46,4,FALSE),0)</f>
        <v>0</v>
      </c>
      <c r="H70" s="31">
        <f>IFERROR(VLOOKUP(C70,'Datos Abierto'!$B$3:$O$46,5,FALSE),0)</f>
        <v>0</v>
      </c>
      <c r="I70" s="31">
        <f>IFERROR(VLOOKUP(B70,'Datos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5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IFERROR(VLOOKUP(C71,'Datos Abierto'!$B$3:$O$46,10,FALSE),0)</f>
        <v>0</v>
      </c>
      <c r="G71" s="31">
        <f>IFERROR(VLOOKUP(C71,'Datos Abierto'!$B$3:$O$46,4,FALSE),0)</f>
        <v>0</v>
      </c>
      <c r="H71" s="31">
        <f>IFERROR(VLOOKUP(C71,'Datos Abierto'!$B$3:$O$46,5,FALSE),0)</f>
        <v>0</v>
      </c>
      <c r="I71" s="31">
        <f>IFERROR(VLOOKUP(B71,'Datos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5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IFERROR(VLOOKUP(C72,'Datos Abierto'!$B$3:$O$46,10,FALSE),0)</f>
        <v>0</v>
      </c>
      <c r="G72" s="31">
        <f>IFERROR(VLOOKUP(C72,'Datos Abierto'!$B$3:$O$46,4,FALSE),0)</f>
        <v>0</v>
      </c>
      <c r="H72" s="31">
        <f>IFERROR(VLOOKUP(C72,'Datos Abierto'!$B$3:$O$46,5,FALSE),0)</f>
        <v>0</v>
      </c>
      <c r="I72" s="31">
        <f>IFERROR(VLOOKUP(B72,'Datos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5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IFERROR(VLOOKUP(C73,'Datos Abierto'!$B$3:$O$46,10,FALSE),0)</f>
        <v>0</v>
      </c>
      <c r="G73" s="31">
        <f>IFERROR(VLOOKUP(C73,'Datos Abierto'!$B$3:$O$46,4,FALSE),0)</f>
        <v>0</v>
      </c>
      <c r="H73" s="31">
        <f>IFERROR(VLOOKUP(C73,'Datos Abierto'!$B$3:$O$46,5,FALSE),0)</f>
        <v>0</v>
      </c>
      <c r="I73" s="31">
        <f>IFERROR(VLOOKUP(B73,'Datos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5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IFERROR(VLOOKUP(C74,'Datos Abierto'!$B$3:$O$46,10,FALSE),0)</f>
        <v>0</v>
      </c>
      <c r="G74" s="31">
        <f>IFERROR(VLOOKUP(C74,'Datos Abierto'!$B$3:$O$46,4,FALSE),0)</f>
        <v>0</v>
      </c>
      <c r="H74" s="31">
        <f>IFERROR(VLOOKUP(C74,'Datos Abierto'!$B$3:$O$46,5,FALSE),0)</f>
        <v>0</v>
      </c>
      <c r="I74" s="31">
        <f>IFERROR(VLOOKUP(B74,'Datos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7">SUM(F74:Q74)</f>
        <v>0</v>
      </c>
    </row>
    <row r="75" spans="3:18" s="18" customFormat="1" ht="18" customHeight="1">
      <c r="C75" s="64" t="s">
        <v>85</v>
      </c>
      <c r="D75" s="62">
        <v>0</v>
      </c>
      <c r="E75" s="62">
        <v>0</v>
      </c>
      <c r="F75" s="63">
        <f>IFERROR(VLOOKUP(C75,'Datos Abierto'!$B$3:$O$46,10,FALSE),0)</f>
        <v>0</v>
      </c>
      <c r="G75" s="63">
        <f>IFERROR(VLOOKUP(C75,'Datos Abierto'!$B$3:$O$46,4,FALSE),0)</f>
        <v>0</v>
      </c>
      <c r="H75" s="63">
        <f>IFERROR(VLOOKUP(C75,'Datos Abierto'!$B$3:$O$46,5,FALSE),0)</f>
        <v>0</v>
      </c>
      <c r="I75" s="63">
        <f>IFERROR(VLOOKUP(B75,'Datos Abierto'!$B$3:$O$46,10,FALSE),0)</f>
        <v>0</v>
      </c>
      <c r="J75" s="63">
        <f>IFERROR(VLOOKUP(#REF!,'Datos Abierto'!$B$3:$O$46,10,FALSE),0)</f>
        <v>0</v>
      </c>
      <c r="K75" s="63">
        <f>IFERROR(VLOOKUP(A75,'Datos Abierto'!$B$3:$O$46,10,FALSE),0)</f>
        <v>0</v>
      </c>
      <c r="L75" s="63">
        <f>IFERROR(VLOOKUP(B75,'Datos Abierto'!$B$3:$O$46,10,FALSE),0)</f>
        <v>0</v>
      </c>
      <c r="M75" s="63">
        <f>IFERROR(VLOOKUP(C75,'Datos Abierto'!$B$3:$O$46,10,FALSE),0)</f>
        <v>0</v>
      </c>
      <c r="N75" s="63">
        <f>IFERROR(VLOOKUP(D75,'Datos Abierto'!$B$3:$O$46,10,FALSE),0)</f>
        <v>0</v>
      </c>
      <c r="O75" s="63">
        <f>IFERROR(VLOOKUP(E75,'Datos Abierto'!$B$3:$O$46,10,FALSE),0)</f>
        <v>0</v>
      </c>
      <c r="P75" s="63">
        <f>IFERROR(VLOOKUP(F75,'Datos Abierto'!$B$3:$O$46,10,FALSE),0)</f>
        <v>0</v>
      </c>
      <c r="Q75" s="63">
        <f>IFERROR(VLOOKUP(G75,'Datos Abierto'!$B$3:$O$46,10,FALSE),0)</f>
        <v>0</v>
      </c>
      <c r="R75" s="65">
        <f t="shared" si="7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31">
        <f>IFERROR(VLOOKUP(C76,'Datos Abierto'!$B$3:$O$46,4,FALSE),0)</f>
        <v>0</v>
      </c>
      <c r="H76" s="31">
        <f>IFERROR(VLOOKUP(C76,'Datos Abierto'!$B$3:$O$46,5,FALSE),0)</f>
        <v>0</v>
      </c>
      <c r="I76" s="31">
        <f>IFERROR(VLOOKUP(B76,'Datos Abierto'!$B$3:$O$46,10,FALSE),0)</f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7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31">
        <f>IFERROR(VLOOKUP(C77,'Datos Abierto'!$B$3:$O$46,4,FALSE),0)</f>
        <v>0</v>
      </c>
      <c r="H77" s="31">
        <f>IFERROR(VLOOKUP(C77,'Datos Abierto'!$B$3:$O$46,5,FALSE),0)</f>
        <v>0</v>
      </c>
      <c r="I77" s="31">
        <f>IFERROR(VLOOKUP(B77,'Datos Abierto'!$B$3:$O$46,10,FALSE),0)</f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7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31">
        <f>IFERROR(VLOOKUP(C78,'Datos Abierto'!$B$3:$O$46,4,FALSE),0)</f>
        <v>0</v>
      </c>
      <c r="H78" s="31">
        <f>IFERROR(VLOOKUP(C78,'Datos Abierto'!$B$3:$O$46,5,FALSE),0)</f>
        <v>0</v>
      </c>
      <c r="I78" s="31">
        <f>IFERROR(VLOOKUP(B78,'Datos Abierto'!$B$3:$O$46,10,FALSE),0)</f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7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31">
        <f>IFERROR(VLOOKUP(C79,'Datos Abierto'!$B$3:$O$46,4,FALSE),0)</f>
        <v>0</v>
      </c>
      <c r="H79" s="31">
        <f>IFERROR(VLOOKUP(C79,'Datos Abierto'!$B$3:$O$46,5,FALSE),0)</f>
        <v>0</v>
      </c>
      <c r="I79" s="31">
        <f>IFERROR(VLOOKUP(B79,'Datos Abierto'!$B$3:$O$46,10,FALSE),0)</f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7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31">
        <f>IFERROR(VLOOKUP(C80,'Datos Abierto'!$B$3:$O$46,4,FALSE),0)</f>
        <v>0</v>
      </c>
      <c r="H80" s="31">
        <f>IFERROR(VLOOKUP(C80,'Datos Abierto'!$B$3:$O$46,5,FALSE),0)</f>
        <v>0</v>
      </c>
      <c r="I80" s="31">
        <f>IFERROR(VLOOKUP(B80,'Datos Abierto'!$B$3:$O$46,10,FALSE),0)</f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7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IFERROR(VLOOKUP(C81,'Datos Abierto'!$B$3:$O$46,4,FALSE),0)</f>
        <v>0</v>
      </c>
      <c r="H81" s="31">
        <f>IFERROR(VLOOKUP(C81,'Datos Abierto'!$B$3:$O$46,5,FALSE),0)</f>
        <v>0</v>
      </c>
      <c r="I81" s="31">
        <f>IFERROR(VLOOKUP(B81,'Datos Abierto'!$B$3:$O$46,10,FALSE),0)</f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7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IFERROR(VLOOKUP(C82,'Datos Abierto'!$B$3:$O$46,4,FALSE),0)</f>
        <v>0</v>
      </c>
      <c r="H82" s="31">
        <f>IFERROR(VLOOKUP(C82,'Datos Abierto'!$B$3:$O$46,5,FALSE),0)</f>
        <v>0</v>
      </c>
      <c r="I82" s="31">
        <f>IFERROR(VLOOKUP(B82,'Datos Abierto'!$B$3:$O$46,10,FALSE),0)</f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7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IFERROR(VLOOKUP(C83,'Datos Abierto'!$B$3:$O$46,4,FALSE),0)</f>
        <v>0</v>
      </c>
      <c r="H83" s="31">
        <f>IFERROR(VLOOKUP(C83,'Datos Abierto'!$B$3:$O$46,5,FALSE),0)</f>
        <v>0</v>
      </c>
      <c r="I83" s="31">
        <f>IFERROR(VLOOKUP(B83,'Datos Abierto'!$B$3:$O$46,10,FALSE),0)</f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7"/>
        <v>0</v>
      </c>
    </row>
    <row r="84" spans="3:18" s="18" customFormat="1" ht="21" customHeight="1">
      <c r="C84" s="43" t="s">
        <v>94</v>
      </c>
      <c r="D84" s="44">
        <f t="shared" ref="D84" si="8">+D10</f>
        <v>1084688136</v>
      </c>
      <c r="E84" s="44">
        <f>+E10</f>
        <v>1151008136</v>
      </c>
      <c r="F84" s="44">
        <f>+F10</f>
        <v>36584165.75</v>
      </c>
      <c r="G84" s="44">
        <f t="shared" ref="G84:M84" si="9">+G10</f>
        <v>98834162</v>
      </c>
      <c r="H84" s="44">
        <f t="shared" si="9"/>
        <v>67156786.75</v>
      </c>
      <c r="I84" s="44">
        <f t="shared" si="9"/>
        <v>113602362.23</v>
      </c>
      <c r="J84" s="44">
        <f t="shared" si="9"/>
        <v>67012010.640000001</v>
      </c>
      <c r="K84" s="44">
        <f t="shared" si="9"/>
        <v>82075545.709999993</v>
      </c>
      <c r="L84" s="44">
        <f t="shared" si="9"/>
        <v>73697608.549999997</v>
      </c>
      <c r="M84" s="44">
        <f t="shared" si="9"/>
        <v>105462706.54000001</v>
      </c>
      <c r="N84" s="44">
        <f t="shared" ref="N84:Q84" si="10">+N10</f>
        <v>70079065.760000005</v>
      </c>
      <c r="O84" s="44">
        <f t="shared" ref="O84:P84" si="11">+O10</f>
        <v>89600019.25</v>
      </c>
      <c r="P84" s="44">
        <f t="shared" si="11"/>
        <v>0</v>
      </c>
      <c r="Q84" s="44">
        <f t="shared" si="10"/>
        <v>0</v>
      </c>
      <c r="R84" s="55">
        <f>+R10</f>
        <v>804104433.17999995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69" t="s">
        <v>102</v>
      </c>
      <c r="D97" s="69"/>
      <c r="E97" s="69"/>
      <c r="F97" s="69"/>
      <c r="G97" s="69"/>
    </row>
    <row r="98" spans="3:7">
      <c r="C98" s="69" t="s">
        <v>103</v>
      </c>
      <c r="D98" s="69"/>
      <c r="E98" s="69"/>
      <c r="F98" s="69"/>
      <c r="G98" s="69"/>
    </row>
    <row r="99" spans="3:7">
      <c r="C99" s="69" t="s">
        <v>132</v>
      </c>
      <c r="D99" s="69"/>
      <c r="E99" s="69"/>
      <c r="F99" s="69"/>
      <c r="G99" s="69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43" orientation="landscape" r:id="rId1"/>
  <rowBreaks count="1" manualBreakCount="1">
    <brk id="69" max="17" man="1"/>
  </rowBreaks>
  <ignoredErrors>
    <ignoredError sqref="F17" formula="1"/>
    <ignoredError sqref="D37 E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abSelected="1" topLeftCell="B22" workbookViewId="0">
      <selection activeCell="M7" activeCellId="1" sqref="B7:B47 M7:M47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6" t="s">
        <v>120</v>
      </c>
      <c r="E1" s="66" t="s">
        <v>121</v>
      </c>
      <c r="F1" s="67" t="s">
        <v>122</v>
      </c>
      <c r="G1" s="67" t="s">
        <v>123</v>
      </c>
      <c r="H1" s="67" t="s">
        <v>124</v>
      </c>
      <c r="I1" s="67" t="s">
        <v>125</v>
      </c>
      <c r="J1" s="67" t="s">
        <v>126</v>
      </c>
      <c r="K1" s="67" t="s">
        <v>127</v>
      </c>
      <c r="L1" s="67" t="s">
        <v>128</v>
      </c>
      <c r="M1" s="67" t="s">
        <v>129</v>
      </c>
      <c r="N1" s="67" t="s">
        <v>130</v>
      </c>
      <c r="O1" s="67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804104433.17999995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v>67012010.640000001</v>
      </c>
      <c r="I3" s="13">
        <v>82075545.709999993</v>
      </c>
      <c r="J3" s="13">
        <v>73697608.549999997</v>
      </c>
      <c r="K3" s="13">
        <v>105462706.54000001</v>
      </c>
      <c r="L3" s="13">
        <v>70079065.760000005</v>
      </c>
      <c r="M3" s="13">
        <v>89600019.25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804104433.17999995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v>67012010.640000001</v>
      </c>
      <c r="I4" s="13">
        <v>82075545.709999993</v>
      </c>
      <c r="J4" s="13">
        <v>73697608.549999997</v>
      </c>
      <c r="K4" s="13">
        <v>105462706.54000001</v>
      </c>
      <c r="L4" s="13">
        <v>70079065.760000005</v>
      </c>
      <c r="M4" s="13">
        <v>89600019.25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804104433.17999995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v>67012010.640000001</v>
      </c>
      <c r="I5" s="13">
        <v>82075545.709999993</v>
      </c>
      <c r="J5" s="13">
        <v>73697608.549999997</v>
      </c>
      <c r="K5" s="13">
        <v>105462706.54000001</v>
      </c>
      <c r="L5" s="13">
        <v>70079065.760000005</v>
      </c>
      <c r="M5" s="13">
        <v>89600019.25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804104433.17999995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v>67012010.640000001</v>
      </c>
      <c r="I6" s="13">
        <v>82075545.709999993</v>
      </c>
      <c r="J6" s="13">
        <v>73697608.549999997</v>
      </c>
      <c r="K6" s="13">
        <v>105462706.54000001</v>
      </c>
      <c r="L6" s="13">
        <v>70079065.760000005</v>
      </c>
      <c r="M6" s="13">
        <v>89600019.25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804104433.17999995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v>67012010.640000001</v>
      </c>
      <c r="I7" s="13">
        <v>82075545.709999993</v>
      </c>
      <c r="J7" s="13">
        <v>73697608.549999997</v>
      </c>
      <c r="K7" s="13">
        <v>105462706.54000001</v>
      </c>
      <c r="L7" s="13">
        <v>70079065.760000005</v>
      </c>
      <c r="M7" s="13">
        <v>89600019.25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564566999.01999998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v>36461558.780000001</v>
      </c>
      <c r="I8" s="13">
        <v>71364982.629999995</v>
      </c>
      <c r="J8" s="13">
        <v>38567367.25</v>
      </c>
      <c r="K8" s="13">
        <v>67090770.079999998</v>
      </c>
      <c r="L8" s="13">
        <v>52403025.829999998</v>
      </c>
      <c r="M8" s="13">
        <v>52608874.469999999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462443132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v>30527254.120000001</v>
      </c>
      <c r="I9" s="13">
        <v>60557681.299999997</v>
      </c>
      <c r="J9" s="13">
        <v>33189296.609999999</v>
      </c>
      <c r="K9" s="13">
        <v>57575377.07</v>
      </c>
      <c r="L9" s="13">
        <v>45228253.359999999</v>
      </c>
      <c r="M9" s="13">
        <v>43841114.280000001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31984337.030000005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v>1244320.18</v>
      </c>
      <c r="I10" s="13">
        <v>1565872.62</v>
      </c>
      <c r="J10" s="13">
        <v>667530.56000000006</v>
      </c>
      <c r="K10" s="13">
        <v>625572.17000000004</v>
      </c>
      <c r="L10" s="13">
        <v>418604.42</v>
      </c>
      <c r="M10" s="13">
        <v>2067455.23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162654.91</v>
      </c>
      <c r="D11" s="13">
        <v>0</v>
      </c>
      <c r="E11" s="13">
        <v>0</v>
      </c>
      <c r="F11" s="13">
        <v>21364</v>
      </c>
      <c r="G11" s="13">
        <v>0</v>
      </c>
      <c r="H11" s="13">
        <v>39204.300000000003</v>
      </c>
      <c r="I11" s="13">
        <v>14336.2</v>
      </c>
      <c r="J11" s="13">
        <v>37446.410000000003</v>
      </c>
      <c r="K11" s="13">
        <v>0</v>
      </c>
      <c r="L11" s="13">
        <v>24384</v>
      </c>
      <c r="M11" s="13">
        <v>25920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69976875.079999983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v>4650780.18</v>
      </c>
      <c r="I13" s="13">
        <v>9227092.5099999998</v>
      </c>
      <c r="J13" s="13">
        <v>4673093.67</v>
      </c>
      <c r="K13" s="13">
        <v>8889820.8399999999</v>
      </c>
      <c r="L13" s="13">
        <v>6731784.0499999998</v>
      </c>
      <c r="M13" s="13">
        <v>6674384.96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175050942.41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v>17034044.309999999</v>
      </c>
      <c r="I14" s="13">
        <v>9772953.7899999991</v>
      </c>
      <c r="J14" s="13">
        <v>20704410.969999999</v>
      </c>
      <c r="K14" s="13">
        <v>32493738.640000001</v>
      </c>
      <c r="L14" s="13">
        <v>14875956.23</v>
      </c>
      <c r="M14" s="13">
        <v>29155963.25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75664451.959999993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v>7252310.4699999997</v>
      </c>
      <c r="I15" s="13">
        <v>4070319.93</v>
      </c>
      <c r="J15" s="13">
        <v>13528594.439999999</v>
      </c>
      <c r="K15" s="13">
        <v>4205894.95</v>
      </c>
      <c r="L15" s="13">
        <v>8258158.6200000001</v>
      </c>
      <c r="M15" s="13">
        <v>14684350.15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5293505.1100000003</v>
      </c>
      <c r="D16" s="13">
        <v>0</v>
      </c>
      <c r="E16" s="13">
        <v>0</v>
      </c>
      <c r="F16" s="13">
        <v>0</v>
      </c>
      <c r="G16" s="13">
        <v>1153335.24</v>
      </c>
      <c r="H16" s="13">
        <v>722720</v>
      </c>
      <c r="I16" s="13">
        <v>571895.02</v>
      </c>
      <c r="J16" s="13">
        <v>964719.15</v>
      </c>
      <c r="K16" s="13">
        <v>1610491.8</v>
      </c>
      <c r="L16" s="13">
        <v>56173.9</v>
      </c>
      <c r="M16" s="13">
        <v>214170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4675097.4000000004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v>0</v>
      </c>
      <c r="I17" s="13">
        <v>635850</v>
      </c>
      <c r="J17" s="13">
        <v>0</v>
      </c>
      <c r="K17" s="13">
        <v>756561.5</v>
      </c>
      <c r="L17" s="13">
        <v>232834.64</v>
      </c>
      <c r="M17" s="13">
        <v>1136974.56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1706050.0200000003</v>
      </c>
      <c r="D18" s="13">
        <v>0</v>
      </c>
      <c r="E18" s="13">
        <v>331608.88</v>
      </c>
      <c r="F18" s="13">
        <v>0</v>
      </c>
      <c r="G18" s="13">
        <v>88000</v>
      </c>
      <c r="H18" s="13">
        <v>1103412.3</v>
      </c>
      <c r="I18" s="13">
        <v>0</v>
      </c>
      <c r="J18" s="13">
        <v>56404</v>
      </c>
      <c r="K18" s="13">
        <v>0</v>
      </c>
      <c r="L18" s="13">
        <v>0</v>
      </c>
      <c r="M18" s="13">
        <v>126624.84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48022248.910000004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v>4276284.54</v>
      </c>
      <c r="I19" s="13">
        <v>3004761.57</v>
      </c>
      <c r="J19" s="13">
        <v>2049362.34</v>
      </c>
      <c r="K19" s="13">
        <v>15433913.619999999</v>
      </c>
      <c r="L19" s="13">
        <v>4283668.0999999996</v>
      </c>
      <c r="M19" s="13">
        <v>6042261.3899999997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12396899.27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v>2593133.54</v>
      </c>
      <c r="I20" s="13">
        <v>355222.13</v>
      </c>
      <c r="J20" s="13">
        <v>2555701.87</v>
      </c>
      <c r="K20" s="13">
        <v>4754537.18</v>
      </c>
      <c r="L20" s="13">
        <v>340222.66</v>
      </c>
      <c r="M20" s="13">
        <v>339709.16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17950713.990000002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v>996183.46</v>
      </c>
      <c r="I21" s="13">
        <v>264737.26</v>
      </c>
      <c r="J21" s="13">
        <v>1189378.99</v>
      </c>
      <c r="K21" s="13">
        <v>4362812.26</v>
      </c>
      <c r="L21" s="13">
        <v>378867.08</v>
      </c>
      <c r="M21" s="13">
        <v>2210098.69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7299008.5899999999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v>90000</v>
      </c>
      <c r="I22" s="13">
        <v>584414.55000000005</v>
      </c>
      <c r="J22" s="13">
        <v>360250.18</v>
      </c>
      <c r="K22" s="13">
        <v>924208.09</v>
      </c>
      <c r="L22" s="13">
        <v>1176031.23</v>
      </c>
      <c r="M22" s="13">
        <v>3654199.87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2042967.1600000001</v>
      </c>
      <c r="D23" s="13">
        <v>0</v>
      </c>
      <c r="E23" s="13">
        <v>0</v>
      </c>
      <c r="F23" s="13">
        <v>0</v>
      </c>
      <c r="G23" s="13">
        <v>414320</v>
      </c>
      <c r="H23" s="13">
        <v>0</v>
      </c>
      <c r="I23" s="13">
        <v>285753.33</v>
      </c>
      <c r="J23" s="13">
        <v>0</v>
      </c>
      <c r="K23" s="13">
        <v>445319.24</v>
      </c>
      <c r="L23" s="13">
        <v>150000</v>
      </c>
      <c r="M23" s="13">
        <v>747574.59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39147468.909999996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v>12099870.42</v>
      </c>
      <c r="I24" s="13">
        <v>724683.81</v>
      </c>
      <c r="J24" s="13">
        <v>6961153.5499999998</v>
      </c>
      <c r="K24" s="13">
        <v>4536865.0199999996</v>
      </c>
      <c r="L24" s="13">
        <v>1079755.3799999999</v>
      </c>
      <c r="M24" s="13">
        <v>6251753.29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1381039.1800000002</v>
      </c>
      <c r="D25" s="13">
        <v>0</v>
      </c>
      <c r="E25" s="13">
        <v>12986.49</v>
      </c>
      <c r="F25" s="13">
        <v>0</v>
      </c>
      <c r="G25" s="13">
        <v>12986.49</v>
      </c>
      <c r="H25" s="13">
        <v>438287.32</v>
      </c>
      <c r="I25" s="13">
        <v>74892</v>
      </c>
      <c r="J25" s="13">
        <v>65344</v>
      </c>
      <c r="K25" s="13">
        <v>482503.5</v>
      </c>
      <c r="L25" s="13">
        <v>175511.38</v>
      </c>
      <c r="M25" s="13">
        <v>118528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1146470.3</v>
      </c>
      <c r="D27" s="13">
        <v>0</v>
      </c>
      <c r="E27" s="13">
        <v>0</v>
      </c>
      <c r="F27" s="13">
        <v>0</v>
      </c>
      <c r="G27" s="13">
        <v>0</v>
      </c>
      <c r="H27" s="13">
        <v>776056.5</v>
      </c>
      <c r="I27" s="13">
        <v>15670.4</v>
      </c>
      <c r="J27" s="13">
        <v>296988.89</v>
      </c>
      <c r="K27" s="13">
        <v>57754.51</v>
      </c>
      <c r="L27" s="13">
        <v>0</v>
      </c>
      <c r="M27" s="13"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105142.05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3269.25</v>
      </c>
      <c r="L28" s="13">
        <v>0</v>
      </c>
      <c r="M28" s="13">
        <v>101872.8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229300.72</v>
      </c>
      <c r="D29" s="13">
        <v>0</v>
      </c>
      <c r="E29" s="13">
        <v>0</v>
      </c>
      <c r="F29" s="13">
        <v>0</v>
      </c>
      <c r="G29" s="13">
        <v>44368</v>
      </c>
      <c r="H29" s="13">
        <v>0</v>
      </c>
      <c r="I29" s="13">
        <v>33691.360000000001</v>
      </c>
      <c r="J29" s="13">
        <v>41872.68</v>
      </c>
      <c r="K29" s="13">
        <v>0</v>
      </c>
      <c r="L29" s="13">
        <v>67496</v>
      </c>
      <c r="M29" s="13">
        <v>41872.68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1259752.22</v>
      </c>
      <c r="D30" s="13">
        <v>0</v>
      </c>
      <c r="E30" s="13">
        <v>176799.4</v>
      </c>
      <c r="F30" s="13">
        <v>0</v>
      </c>
      <c r="G30" s="13">
        <v>0</v>
      </c>
      <c r="H30" s="13">
        <v>0</v>
      </c>
      <c r="I30" s="13">
        <v>2976.9</v>
      </c>
      <c r="J30" s="13">
        <v>88075.199999999997</v>
      </c>
      <c r="K30" s="13">
        <v>958860.72</v>
      </c>
      <c r="L30" s="13">
        <v>33040</v>
      </c>
      <c r="M30" s="13"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18200623.389999997</v>
      </c>
      <c r="D32" s="13">
        <v>0</v>
      </c>
      <c r="E32" s="13">
        <v>459084.9</v>
      </c>
      <c r="F32" s="13">
        <v>0</v>
      </c>
      <c r="G32" s="13">
        <v>1619261.96</v>
      </c>
      <c r="H32" s="13">
        <v>10885526.6</v>
      </c>
      <c r="I32" s="13">
        <v>521494.6</v>
      </c>
      <c r="J32" s="13">
        <v>581427.48</v>
      </c>
      <c r="K32" s="13">
        <v>3028341.04</v>
      </c>
      <c r="L32" s="13">
        <v>517058</v>
      </c>
      <c r="M32" s="13">
        <v>588428.81000000006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1870280.11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v>445677.11</v>
      </c>
      <c r="I33" s="13">
        <v>212925.48</v>
      </c>
      <c r="J33" s="13">
        <v>74000</v>
      </c>
      <c r="K33" s="13">
        <v>11500</v>
      </c>
      <c r="L33" s="13">
        <v>97338.23</v>
      </c>
      <c r="M33" s="13">
        <v>435004.26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1764227.61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v>445677.11</v>
      </c>
      <c r="I34" s="13">
        <v>212925.48</v>
      </c>
      <c r="J34" s="13">
        <v>74000</v>
      </c>
      <c r="K34" s="13">
        <v>11500</v>
      </c>
      <c r="L34" s="13">
        <v>97338.23</v>
      </c>
      <c r="M34" s="13">
        <v>328951.76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22590397.969999999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v>970860.02</v>
      </c>
      <c r="I36" s="13">
        <v>0</v>
      </c>
      <c r="J36" s="13">
        <v>7390676.7800000003</v>
      </c>
      <c r="K36" s="13">
        <v>1329832.8</v>
      </c>
      <c r="L36" s="13">
        <v>1622990.09</v>
      </c>
      <c r="M36" s="13">
        <v>946569.64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17815361.48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v>0</v>
      </c>
      <c r="I37" s="13">
        <v>0</v>
      </c>
      <c r="J37" s="13">
        <v>6791063.7800000003</v>
      </c>
      <c r="K37" s="13">
        <v>552470.1</v>
      </c>
      <c r="L37" s="13">
        <v>738337.01</v>
      </c>
      <c r="M37" s="13">
        <v>946569.64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580184.69999999995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580184.69999999995</v>
      </c>
      <c r="L38" s="13">
        <v>0</v>
      </c>
      <c r="M38" s="13"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34574</v>
      </c>
      <c r="D39" s="13">
        <v>0</v>
      </c>
      <c r="E39" s="13">
        <v>8614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25960</v>
      </c>
      <c r="L39" s="13">
        <v>0</v>
      </c>
      <c r="M39" s="13"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3481017.77</v>
      </c>
      <c r="D41" s="13">
        <v>0</v>
      </c>
      <c r="E41" s="13">
        <v>91025.2</v>
      </c>
      <c r="F41" s="13">
        <v>0</v>
      </c>
      <c r="G41" s="13">
        <v>1289508.49</v>
      </c>
      <c r="H41" s="13">
        <v>595000</v>
      </c>
      <c r="I41" s="13">
        <v>0</v>
      </c>
      <c r="J41" s="13">
        <v>449613</v>
      </c>
      <c r="K41" s="13">
        <v>171218</v>
      </c>
      <c r="L41" s="13">
        <v>884653.08</v>
      </c>
      <c r="M41" s="13"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525860.02</v>
      </c>
      <c r="D42" s="13">
        <v>0</v>
      </c>
      <c r="E42" s="13">
        <v>0</v>
      </c>
      <c r="F42" s="13">
        <v>0</v>
      </c>
      <c r="G42" s="13">
        <v>0</v>
      </c>
      <c r="H42" s="13">
        <v>375860.02</v>
      </c>
      <c r="I42" s="13">
        <v>0</v>
      </c>
      <c r="J42" s="13">
        <v>150000</v>
      </c>
      <c r="K42" s="13">
        <v>0</v>
      </c>
      <c r="L42" s="13">
        <v>0</v>
      </c>
      <c r="M42" s="13"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878344.76</v>
      </c>
      <c r="D45" s="13">
        <v>0</v>
      </c>
      <c r="E45" s="13">
        <v>676490.42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201854.34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878344.76</v>
      </c>
      <c r="D46" s="13">
        <v>0</v>
      </c>
      <c r="E46" s="13">
        <v>676490.42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201854.34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 ht="15.75">
      <c r="A47" s="10" t="s">
        <v>117</v>
      </c>
      <c r="B47" s="29" t="s">
        <v>75</v>
      </c>
      <c r="C47" s="12">
        <f t="shared" ref="C47" si="1">SUM(D47:O47)</f>
        <v>676490.42</v>
      </c>
      <c r="D47" s="13">
        <v>0</v>
      </c>
      <c r="E47" s="13">
        <v>676490.42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f>+IFERROR(VLOOKUP(B47,Plantilla!$A$2:E77,2,FALSE),0)</f>
        <v>0</v>
      </c>
      <c r="O47" s="13">
        <f>IFERROR(VLOOKUP(B47,Plantilla!$A$2:B77,2,FALSE),0)</f>
        <v>0</v>
      </c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44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8"/>
      <c r="B2" s="79"/>
    </row>
    <row r="3" spans="1:2">
      <c r="A3" s="78"/>
      <c r="B3" s="79"/>
    </row>
    <row r="4" spans="1:2">
      <c r="A4" s="80"/>
      <c r="B4" s="79"/>
    </row>
    <row r="5" spans="1:2">
      <c r="A5" s="81"/>
      <c r="B5" s="79"/>
    </row>
    <row r="6" spans="1:2">
      <c r="A6" s="82"/>
      <c r="B6" s="79"/>
    </row>
    <row r="7" spans="1:2" s="1" customFormat="1">
      <c r="A7" s="83"/>
      <c r="B7" s="79"/>
    </row>
    <row r="8" spans="1:2">
      <c r="A8" s="84"/>
      <c r="B8" s="79"/>
    </row>
    <row r="9" spans="1:2">
      <c r="A9" s="84"/>
      <c r="B9" s="79"/>
    </row>
    <row r="10" spans="1:2">
      <c r="A10" s="84"/>
      <c r="B10" s="79"/>
    </row>
    <row r="11" spans="1:2" s="1" customFormat="1">
      <c r="A11" s="84"/>
      <c r="B11" s="79"/>
    </row>
    <row r="12" spans="1:2">
      <c r="A12" s="83"/>
      <c r="B12" s="79"/>
    </row>
    <row r="13" spans="1:2">
      <c r="A13" s="84"/>
      <c r="B13" s="79"/>
    </row>
    <row r="14" spans="1:2">
      <c r="A14" s="84"/>
      <c r="B14" s="79"/>
    </row>
    <row r="15" spans="1:2">
      <c r="A15" s="84"/>
      <c r="B15" s="79"/>
    </row>
    <row r="16" spans="1:2">
      <c r="A16" s="84"/>
      <c r="B16" s="79"/>
    </row>
    <row r="17" spans="1:2">
      <c r="A17" s="84"/>
      <c r="B17" s="79"/>
    </row>
    <row r="18" spans="1:2">
      <c r="A18" s="84"/>
      <c r="B18" s="79"/>
    </row>
    <row r="19" spans="1:2">
      <c r="A19" s="84"/>
      <c r="B19" s="79"/>
    </row>
    <row r="20" spans="1:2" s="1" customFormat="1">
      <c r="A20" s="84"/>
      <c r="B20" s="79"/>
    </row>
    <row r="21" spans="1:2">
      <c r="A21" s="84"/>
      <c r="B21" s="79"/>
    </row>
    <row r="22" spans="1:2">
      <c r="A22" s="83"/>
      <c r="B22" s="79"/>
    </row>
    <row r="23" spans="1:2">
      <c r="A23" s="84"/>
      <c r="B23" s="79"/>
    </row>
    <row r="24" spans="1:2">
      <c r="A24" s="84"/>
      <c r="B24" s="79"/>
    </row>
    <row r="25" spans="1:2">
      <c r="A25" s="84"/>
      <c r="B25" s="79"/>
    </row>
    <row r="26" spans="1:2">
      <c r="A26" s="84"/>
      <c r="B26" s="79"/>
    </row>
    <row r="27" spans="1:2" s="1" customFormat="1">
      <c r="A27" s="84"/>
      <c r="B27" s="79"/>
    </row>
    <row r="28" spans="1:2">
      <c r="A28" s="84"/>
      <c r="B28" s="79"/>
    </row>
    <row r="29" spans="1:2" s="1" customFormat="1">
      <c r="A29" s="84"/>
      <c r="B29" s="79"/>
    </row>
    <row r="30" spans="1:2">
      <c r="A30" s="84"/>
      <c r="B30" s="79"/>
    </row>
    <row r="31" spans="1:2">
      <c r="A31" s="83"/>
      <c r="B31" s="79"/>
    </row>
    <row r="32" spans="1:2">
      <c r="A32" s="84"/>
      <c r="B32" s="79"/>
    </row>
    <row r="33" spans="1:2">
      <c r="A33" s="84"/>
      <c r="B33" s="79"/>
    </row>
    <row r="34" spans="1:2">
      <c r="A34" s="83"/>
      <c r="B34" s="79"/>
    </row>
    <row r="35" spans="1:2">
      <c r="A35" s="84"/>
      <c r="B35" s="79"/>
    </row>
    <row r="36" spans="1:2">
      <c r="A36" s="84"/>
      <c r="B36" s="79"/>
    </row>
    <row r="37" spans="1:2">
      <c r="A37" s="84"/>
      <c r="B37" s="79"/>
    </row>
    <row r="38" spans="1:2">
      <c r="A38" s="84"/>
      <c r="B38" s="79"/>
    </row>
    <row r="39" spans="1:2">
      <c r="A39" s="84"/>
      <c r="B39" s="79"/>
    </row>
    <row r="40" spans="1:2">
      <c r="A40" s="84"/>
      <c r="B40" s="79"/>
    </row>
    <row r="41" spans="1:2">
      <c r="A41" s="84"/>
      <c r="B41" s="79"/>
    </row>
    <row r="42" spans="1:2">
      <c r="A42" s="84"/>
      <c r="B42" s="79"/>
    </row>
    <row r="43" spans="1:2">
      <c r="A43" s="83"/>
      <c r="B43" s="79"/>
    </row>
    <row r="44" spans="1:2">
      <c r="A44" s="84"/>
      <c r="B44" s="79"/>
    </row>
    <row r="45" spans="1:2">
      <c r="A45" s="56"/>
      <c r="B45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Martínez Guzmán</cp:lastModifiedBy>
  <cp:lastPrinted>2024-11-13T16:31:42Z</cp:lastPrinted>
  <dcterms:created xsi:type="dcterms:W3CDTF">2021-12-09T15:04:00Z</dcterms:created>
  <dcterms:modified xsi:type="dcterms:W3CDTF">2024-11-13T20:00:00Z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